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ummary" sheetId="1" r:id="rId1"/>
    <sheet name="Charts" sheetId="2" r:id="rId2"/>
  </sheets>
  <definedNames>
    <definedName name="_xlnm._FilterDatabase" localSheetId="0" hidden="1">Summary!$A$1:$CA$213</definedName>
  </definedNames>
  <calcPr calcId="124519" fullCalcOnLoad="1"/>
</workbook>
</file>

<file path=xl/sharedStrings.xml><?xml version="1.0" encoding="utf-8"?>
<sst xmlns="http://schemas.openxmlformats.org/spreadsheetml/2006/main" count="1206" uniqueCount="335">
  <si>
    <t>meta__ticker</t>
  </si>
  <si>
    <t>chart</t>
  </si>
  <si>
    <t>meta__date</t>
  </si>
  <si>
    <t>meta__last</t>
  </si>
  <si>
    <t>price_context__pct_from_52w_high</t>
  </si>
  <si>
    <t>price_context__pct_to_52w_low</t>
  </si>
  <si>
    <t>price_context__sma_dev_pct</t>
  </si>
  <si>
    <t>trend__sma200</t>
  </si>
  <si>
    <t>trend__sma200_slope_pct</t>
  </si>
  <si>
    <t>trend__sma200_trending_up</t>
  </si>
  <si>
    <t>trend__sma50</t>
  </si>
  <si>
    <t>trend__sma20</t>
  </si>
  <si>
    <t>trend__ema_fast</t>
  </si>
  <si>
    <t>trend__ema_slow</t>
  </si>
  <si>
    <t>trend__ema_fast_cross_up</t>
  </si>
  <si>
    <t>trend__ema50_reclaim</t>
  </si>
  <si>
    <t>trend__above_boll_mid</t>
  </si>
  <si>
    <t>momentum__rsi</t>
  </si>
  <si>
    <t>momentum__rsi_ok</t>
  </si>
  <si>
    <t>momentum__rsi_hook_up</t>
  </si>
  <si>
    <t>momentum__macd</t>
  </si>
  <si>
    <t>momentum__macd_signal</t>
  </si>
  <si>
    <t>momentum__macd_cross_ok</t>
  </si>
  <si>
    <t>momentum__gap_up</t>
  </si>
  <si>
    <t>volume__vol</t>
  </si>
  <si>
    <t>volume__vol_avg20</t>
  </si>
  <si>
    <t>volume__vol_spike_ok</t>
  </si>
  <si>
    <t>bands_breakouts__bb_ma</t>
  </si>
  <si>
    <t>bands_breakouts__bb_up</t>
  </si>
  <si>
    <t>bands_breakouts__bb_lo</t>
  </si>
  <si>
    <t>bands_breakouts__bb_percent_b</t>
  </si>
  <si>
    <t>bands_breakouts__bb_bandwidth</t>
  </si>
  <si>
    <t>bands_breakouts__donchian_hi</t>
  </si>
  <si>
    <t>bands_breakouts__donchian_lo</t>
  </si>
  <si>
    <t>bands_breakouts__donchian_breakout</t>
  </si>
  <si>
    <t>stops_and_risk__atr</t>
  </si>
  <si>
    <t>stops_and_risk__atr_stop</t>
  </si>
  <si>
    <t>stops_and_risk__swing_low</t>
  </si>
  <si>
    <t>stops_and_risk__band_stop</t>
  </si>
  <si>
    <t>stops_and_risk__pct_stop</t>
  </si>
  <si>
    <t>stops_and_risk__recommended_stop</t>
  </si>
  <si>
    <t>stops_and_risk__recommended_stop_basis</t>
  </si>
  <si>
    <t>stops_and_risk__planned_stop_price</t>
  </si>
  <si>
    <t>stops_and_risk__planned_target_price</t>
  </si>
  <si>
    <t>stops_and_risk__trailing_trigger_gain</t>
  </si>
  <si>
    <t>stops_and_risk__trailing_pct</t>
  </si>
  <si>
    <t>stops_and_risk__max_hold_days</t>
  </si>
  <si>
    <t>stops_and_risk__risk_reward</t>
  </si>
  <si>
    <t>signals_and_scores__signals_score</t>
  </si>
  <si>
    <t>signals_and_scores__composite_score</t>
  </si>
  <si>
    <t>position_sizing__suggested_shares</t>
  </si>
  <si>
    <t>position_sizing__risk_dollars</t>
  </si>
  <si>
    <t>position_sizing__alloc_cap_dollars</t>
  </si>
  <si>
    <t>fundamentals_and_sentiment__headline_sentiment</t>
  </si>
  <si>
    <t>fundamentals_and_sentiment__catalysts</t>
  </si>
  <si>
    <t>fundamentals_and_sentiment__pe_ttm</t>
  </si>
  <si>
    <t>fundamentals_and_sentiment__pe_fwd</t>
  </si>
  <si>
    <t>fundamentals_and_sentiment__div_yield_pct</t>
  </si>
  <si>
    <t>fundamentals_and_sentiment__payout_ratio</t>
  </si>
  <si>
    <t>fundamentals_and_sentiment__debt_to_equity</t>
  </si>
  <si>
    <t>fundamentals_and_sentiment__revenue_growth_qoq</t>
  </si>
  <si>
    <t>fundamentals_and_sentiment__eps_growth_qoq</t>
  </si>
  <si>
    <t>fundamentals_and_sentiment__net_profit_margin</t>
  </si>
  <si>
    <t>fundamentals_and_sentiment__fcf_margin</t>
  </si>
  <si>
    <t>fundamentals_and_sentiment__peg_ratio</t>
  </si>
  <si>
    <t>fundamentals_and_sentiment__analysis</t>
  </si>
  <si>
    <t>owned</t>
  </si>
  <si>
    <t>UNH</t>
  </si>
  <si>
    <t>EMP-A.TO</t>
  </si>
  <si>
    <t>FSLR</t>
  </si>
  <si>
    <t>NEE</t>
  </si>
  <si>
    <t>BIIB</t>
  </si>
  <si>
    <t>GRT-UN.TO</t>
  </si>
  <si>
    <t>MX.TO</t>
  </si>
  <si>
    <t>REGN</t>
  </si>
  <si>
    <t>INTC</t>
  </si>
  <si>
    <t>TMO</t>
  </si>
  <si>
    <t>GIL.TO</t>
  </si>
  <si>
    <t>DAL</t>
  </si>
  <si>
    <t>RY.TO</t>
  </si>
  <si>
    <t>ABX.TO</t>
  </si>
  <si>
    <t>BHC.TO</t>
  </si>
  <si>
    <t>ENPH</t>
  </si>
  <si>
    <t>QBR-B.TO</t>
  </si>
  <si>
    <t>SPG</t>
  </si>
  <si>
    <t>BNS.TO</t>
  </si>
  <si>
    <t>NA.TO</t>
  </si>
  <si>
    <t>TFII.TO</t>
  </si>
  <si>
    <t>FVI.TO</t>
  </si>
  <si>
    <t>CCL-B.TO</t>
  </si>
  <si>
    <t>NWC.TO</t>
  </si>
  <si>
    <t>PEP</t>
  </si>
  <si>
    <t>UAL</t>
  </si>
  <si>
    <t>PBH.TO</t>
  </si>
  <si>
    <t>FI</t>
  </si>
  <si>
    <t>FCX</t>
  </si>
  <si>
    <t>USB</t>
  </si>
  <si>
    <t>EIF.TO</t>
  </si>
  <si>
    <t>LNR.TO</t>
  </si>
  <si>
    <t>LIF.TO</t>
  </si>
  <si>
    <t>HBAN</t>
  </si>
  <si>
    <t>PH</t>
  </si>
  <si>
    <t>FITB</t>
  </si>
  <si>
    <t>DVN</t>
  </si>
  <si>
    <t>REI-UN.TO</t>
  </si>
  <si>
    <t>NTAP</t>
  </si>
  <si>
    <t>ENB.TO</t>
  </si>
  <si>
    <t>URI</t>
  </si>
  <si>
    <t>VZ</t>
  </si>
  <si>
    <t>T</t>
  </si>
  <si>
    <t>HCA</t>
  </si>
  <si>
    <t>NGD.TO</t>
  </si>
  <si>
    <t>JNJ</t>
  </si>
  <si>
    <t>FTS.TO</t>
  </si>
  <si>
    <t>DHR</t>
  </si>
  <si>
    <t>HAS</t>
  </si>
  <si>
    <t>BCE.TO</t>
  </si>
  <si>
    <t>EQX.TO</t>
  </si>
  <si>
    <t>FRT</t>
  </si>
  <si>
    <t>AXP</t>
  </si>
  <si>
    <t>COR</t>
  </si>
  <si>
    <t>PNR</t>
  </si>
  <si>
    <t>PPG</t>
  </si>
  <si>
    <t>YUM</t>
  </si>
  <si>
    <t>GRMN</t>
  </si>
  <si>
    <t>PFE</t>
  </si>
  <si>
    <t>QCOM</t>
  </si>
  <si>
    <t>POOL</t>
  </si>
  <si>
    <t>SWK</t>
  </si>
  <si>
    <t>FOXA</t>
  </si>
  <si>
    <t>IAG.TO</t>
  </si>
  <si>
    <t>SWKS</t>
  </si>
  <si>
    <t>MDT</t>
  </si>
  <si>
    <t>CEU.TO</t>
  </si>
  <si>
    <t>NVR</t>
  </si>
  <si>
    <t>HBM.TO</t>
  </si>
  <si>
    <t>DPM.TO</t>
  </si>
  <si>
    <t>MG.TO</t>
  </si>
  <si>
    <t>CM.TO</t>
  </si>
  <si>
    <t>SSRM.TO</t>
  </si>
  <si>
    <t>INCY</t>
  </si>
  <si>
    <t>COO</t>
  </si>
  <si>
    <t>CHTR</t>
  </si>
  <si>
    <t>EOG</t>
  </si>
  <si>
    <t>ITW</t>
  </si>
  <si>
    <t>RCH.TO</t>
  </si>
  <si>
    <t>TFC</t>
  </si>
  <si>
    <t>COP</t>
  </si>
  <si>
    <t>A</t>
  </si>
  <si>
    <t>MS</t>
  </si>
  <si>
    <t>IVN.TO</t>
  </si>
  <si>
    <t>BLDR</t>
  </si>
  <si>
    <t>SYF</t>
  </si>
  <si>
    <t>GS</t>
  </si>
  <si>
    <t>TROW</t>
  </si>
  <si>
    <t>BLK</t>
  </si>
  <si>
    <t>AOS</t>
  </si>
  <si>
    <t>BMY</t>
  </si>
  <si>
    <t>TD.TO</t>
  </si>
  <si>
    <t>OMC</t>
  </si>
  <si>
    <t>FOX</t>
  </si>
  <si>
    <t>MRK</t>
  </si>
  <si>
    <t>IPG</t>
  </si>
  <si>
    <t>NUE</t>
  </si>
  <si>
    <t>LIN</t>
  </si>
  <si>
    <t>FCR-UN.TO</t>
  </si>
  <si>
    <t>CRT-UN.TO</t>
  </si>
  <si>
    <t>MHK</t>
  </si>
  <si>
    <t>TMUS</t>
  </si>
  <si>
    <t>CBRE</t>
  </si>
  <si>
    <t>SRU-UN.TO</t>
  </si>
  <si>
    <t>OGC.TO</t>
  </si>
  <si>
    <t>CFG</t>
  </si>
  <si>
    <t>BYD.TO</t>
  </si>
  <si>
    <t>FICO</t>
  </si>
  <si>
    <t>ADBE</t>
  </si>
  <si>
    <t>ADI</t>
  </si>
  <si>
    <t>SNA</t>
  </si>
  <si>
    <t>NWSA</t>
  </si>
  <si>
    <t>KNT.TO</t>
  </si>
  <si>
    <t>PRU</t>
  </si>
  <si>
    <t>F</t>
  </si>
  <si>
    <t>CVE.TO</t>
  </si>
  <si>
    <t>KEY.TO</t>
  </si>
  <si>
    <t>PCG</t>
  </si>
  <si>
    <t>NXPI</t>
  </si>
  <si>
    <t>AMZN</t>
  </si>
  <si>
    <t>GPN</t>
  </si>
  <si>
    <t>GEN</t>
  </si>
  <si>
    <t>CVX</t>
  </si>
  <si>
    <t>OTEX.TO</t>
  </si>
  <si>
    <t>MTD</t>
  </si>
  <si>
    <t>APTV</t>
  </si>
  <si>
    <t>MAG.TO</t>
  </si>
  <si>
    <t>GM</t>
  </si>
  <si>
    <t>CVS</t>
  </si>
  <si>
    <t>FAST</t>
  </si>
  <si>
    <t>EFN.TO</t>
  </si>
  <si>
    <t>LEN</t>
  </si>
  <si>
    <t>ACN</t>
  </si>
  <si>
    <t>FFIV</t>
  </si>
  <si>
    <t>ZTS</t>
  </si>
  <si>
    <t>PMZ-UN.TO</t>
  </si>
  <si>
    <t>GILD</t>
  </si>
  <si>
    <t>APA</t>
  </si>
  <si>
    <t>D</t>
  </si>
  <si>
    <t>GOOGL</t>
  </si>
  <si>
    <t>GOOG</t>
  </si>
  <si>
    <t>CMI</t>
  </si>
  <si>
    <t>NOC</t>
  </si>
  <si>
    <t>IGM.TO</t>
  </si>
  <si>
    <t>HLT</t>
  </si>
  <si>
    <t>ELV</t>
  </si>
  <si>
    <t>OXY</t>
  </si>
  <si>
    <t>CJT.TO</t>
  </si>
  <si>
    <t>SES.TO</t>
  </si>
  <si>
    <t>UBER</t>
  </si>
  <si>
    <t>PPL</t>
  </si>
  <si>
    <t>HPE</t>
  </si>
  <si>
    <t>AG.TO</t>
  </si>
  <si>
    <t>T.TO</t>
  </si>
  <si>
    <t>CRR-UN.TO</t>
  </si>
  <si>
    <t>TKO</t>
  </si>
  <si>
    <t>ABBV</t>
  </si>
  <si>
    <t>HUM</t>
  </si>
  <si>
    <t>RCI-B.TO</t>
  </si>
  <si>
    <t>CIGI.TO</t>
  </si>
  <si>
    <t>IFC.TO</t>
  </si>
  <si>
    <t>PSI.TO</t>
  </si>
  <si>
    <t>AGI.TO</t>
  </si>
  <si>
    <t>STT</t>
  </si>
  <si>
    <t>MU</t>
  </si>
  <si>
    <t>TAP</t>
  </si>
  <si>
    <t>MLM</t>
  </si>
  <si>
    <t>LH</t>
  </si>
  <si>
    <t>RMD</t>
  </si>
  <si>
    <t>META</t>
  </si>
  <si>
    <t>DGX</t>
  </si>
  <si>
    <t>LVS</t>
  </si>
  <si>
    <t>LDOS</t>
  </si>
  <si>
    <t>PHM</t>
  </si>
  <si>
    <t>DHI</t>
  </si>
  <si>
    <t>MO</t>
  </si>
  <si>
    <t>GNRC</t>
  </si>
  <si>
    <t>TXN</t>
  </si>
  <si>
    <t>COF</t>
  </si>
  <si>
    <t>NWS</t>
  </si>
  <si>
    <t>BEN</t>
  </si>
  <si>
    <t>AP-UN.TO</t>
  </si>
  <si>
    <t>DOO.TO</t>
  </si>
  <si>
    <t>MKTX</t>
  </si>
  <si>
    <t>WAT</t>
  </si>
  <si>
    <t>TGT</t>
  </si>
  <si>
    <t>CMCSA</t>
  </si>
  <si>
    <t>PSX</t>
  </si>
  <si>
    <t>ACO-X.TO</t>
  </si>
  <si>
    <t>AWK</t>
  </si>
  <si>
    <t>ABT</t>
  </si>
  <si>
    <t>ONEX.TO</t>
  </si>
  <si>
    <t>ACGL</t>
  </si>
  <si>
    <t>BG</t>
  </si>
  <si>
    <t>EVRG</t>
  </si>
  <si>
    <t>AEP</t>
  </si>
  <si>
    <t>JWEL.TO</t>
  </si>
  <si>
    <t>STX</t>
  </si>
  <si>
    <t>TSN</t>
  </si>
  <si>
    <t>ERIE</t>
  </si>
  <si>
    <t>MCD</t>
  </si>
  <si>
    <t>GD</t>
  </si>
  <si>
    <t>AZO</t>
  </si>
  <si>
    <t>AFL</t>
  </si>
  <si>
    <t>KDP</t>
  </si>
  <si>
    <t>LUN.TO</t>
  </si>
  <si>
    <t>PAAS.TO</t>
  </si>
  <si>
    <t>ELD.TO</t>
  </si>
  <si>
    <t>ALLE</t>
  </si>
  <si>
    <t>SOBO.TO</t>
  </si>
  <si>
    <t>ATO</t>
  </si>
  <si>
    <t>IMG.TO</t>
  </si>
  <si>
    <t>2025-08-18</t>
  </si>
  <si>
    <t>atr</t>
  </si>
  <si>
    <t>band</t>
  </si>
  <si>
    <t>swing</t>
  </si>
  <si>
    <t>OrderedDict({'de_ok': True, 'peg_ok': None, 'rev_growth_pos': True, 'rev_growth_strong': None, 'eps_growth_pos': None, 'eps_growth_strong': None, 'net_margin_healthy': None, 'fcf_margin_healthy': None})</t>
  </si>
  <si>
    <t>OrderedDict({'de_ok': True, 'peg_ok': True, 'rev_growth_pos': None, 'rev_growth_strong': None, 'eps_growth_pos': True, 'eps_growth_strong': True, 'net_margin_healthy': None, 'fcf_margin_healthy': None})</t>
  </si>
  <si>
    <t>OrderedDict({'de_ok': True, 'peg_ok': None, 'rev_growth_pos': True, 'rev_growth_strong': True, 'eps_growth_pos': True, 'eps_growth_strong': True, 'net_margin_healthy': True, 'fcf_margin_healthy': None})</t>
  </si>
  <si>
    <t>OrderedDict({'de_ok': True, 'peg_ok': True, 'rev_growth_pos': True, 'rev_growth_strong': True, 'eps_growth_pos': True, 'eps_growth_strong': True, 'net_margin_healthy': True, 'fcf_margin_healthy': None})</t>
  </si>
  <si>
    <t>OrderedDict({'de_ok': True, 'peg_ok': True, 'rev_growth_pos': None, 'rev_growth_strong': None, 'eps_growth_pos': True, 'eps_growth_strong': True, 'net_margin_healthy': True, 'fcf_margin_healthy': None})</t>
  </si>
  <si>
    <t>OrderedDict({'de_ok': True, 'peg_ok': None, 'rev_growth_pos': None, 'rev_growth_strong': None, 'eps_growth_pos': None, 'eps_growth_strong': None, 'net_margin_healthy': None, 'fcf_margin_healthy': None})</t>
  </si>
  <si>
    <t>OrderedDict({'de_ok': True, 'peg_ok': None, 'rev_growth_pos': True, 'rev_growth_strong': None, 'eps_growth_pos': True, 'eps_growth_strong': True, 'net_margin_healthy': None, 'fcf_margin_healthy': None})</t>
  </si>
  <si>
    <t>OrderedDict({'de_ok': True, 'peg_ok': None, 'rev_growth_pos': True, 'rev_growth_strong': None, 'eps_growth_pos': True, 'eps_growth_strong': True, 'net_margin_healthy': True, 'fcf_margin_healthy': None})</t>
  </si>
  <si>
    <t>OrderedDict({'de_ok': None, 'peg_ok': True, 'rev_growth_pos': None, 'rev_growth_strong': None, 'eps_growth_pos': None, 'eps_growth_strong': None, 'net_margin_healthy': True, 'fcf_margin_healthy': None})</t>
  </si>
  <si>
    <t>OrderedDict({'de_ok': None, 'peg_ok': None, 'rev_growth_pos': True, 'rev_growth_strong': True, 'eps_growth_pos': None, 'eps_growth_strong': None, 'net_margin_healthy': None, 'fcf_margin_healthy': None})</t>
  </si>
  <si>
    <t>OrderedDict({'de_ok': None, 'peg_ok': None, 'rev_growth_pos': True, 'rev_growth_strong': None, 'eps_growth_pos': True, 'eps_growth_strong': True, 'net_margin_healthy': True, 'fcf_margin_healthy': None})</t>
  </si>
  <si>
    <t>OrderedDict({'de_ok': None, 'peg_ok': None, 'rev_growth_pos': None, 'rev_growth_strong': None, 'eps_growth_pos': True, 'eps_growth_strong': True, 'net_margin_healthy': True, 'fcf_margin_healthy': None})</t>
  </si>
  <si>
    <t>OrderedDict({'de_ok': None, 'peg_ok': None, 'rev_growth_pos': True, 'rev_growth_strong': True, 'eps_growth_pos': None, 'eps_growth_strong': None, 'net_margin_healthy': True, 'fcf_margin_healthy': None})</t>
  </si>
  <si>
    <t>OrderedDict({'de_ok': True, 'peg_ok': None, 'rev_growth_pos': None, 'rev_growth_strong': None, 'eps_growth_pos': None, 'eps_growth_strong': None, 'net_margin_healthy': True, 'fcf_margin_healthy': None})</t>
  </si>
  <si>
    <t>OrderedDict({'de_ok': True, 'peg_ok': None, 'rev_growth_pos': True, 'rev_growth_strong': None, 'eps_growth_pos': True, 'eps_growth_strong': None, 'net_margin_healthy': True, 'fcf_margin_healthy': None})</t>
  </si>
  <si>
    <t>OrderedDict({'de_ok': None, 'peg_ok': None, 'rev_growth_pos': True, 'rev_growth_strong': True, 'eps_growth_pos': True, 'eps_growth_strong': True, 'net_margin_healthy': None, 'fcf_margin_healthy': None})</t>
  </si>
  <si>
    <t>OrderedDict({'de_ok': True, 'peg_ok': None, 'rev_growth_pos': True, 'rev_growth_strong': True, 'eps_growth_pos': True, 'eps_growth_strong': True, 'net_margin_healthy': None, 'fcf_margin_healthy': None})</t>
  </si>
  <si>
    <t>OrderedDict({'de_ok': True, 'peg_ok': True, 'rev_growth_pos': True, 'rev_growth_strong': None, 'eps_growth_pos': True, 'eps_growth_strong': True, 'net_margin_healthy': True, 'fcf_margin_healthy': None})</t>
  </si>
  <si>
    <t>OrderedDict({'de_ok': True, 'peg_ok': True, 'rev_growth_pos': True, 'rev_growth_strong': True, 'eps_growth_pos': True, 'eps_growth_strong': True, 'net_margin_healthy': None, 'fcf_margin_healthy': None})</t>
  </si>
  <si>
    <t>OrderedDict({'de_ok': True, 'peg_ok': True, 'rev_growth_pos': True, 'rev_growth_strong': None, 'eps_growth_pos': True, 'eps_growth_strong': None, 'net_margin_healthy': True, 'fcf_margin_healthy': None})</t>
  </si>
  <si>
    <t>OrderedDict({'de_ok': True, 'peg_ok': True, 'rev_growth_pos': True, 'rev_growth_strong': None, 'eps_growth_pos': None, 'eps_growth_strong': None, 'net_margin_healthy': True, 'fcf_margin_healthy': None})</t>
  </si>
  <si>
    <t>OrderedDict({'de_ok': None, 'peg_ok': True, 'rev_growth_pos': True, 'rev_growth_strong': True, 'eps_growth_pos': True, 'eps_growth_strong': True, 'net_margin_healthy': True, 'fcf_margin_healthy': None})</t>
  </si>
  <si>
    <t>OrderedDict({'de_ok': True, 'peg_ok': True, 'rev_growth_pos': None, 'rev_growth_strong': None, 'eps_growth_pos': None, 'eps_growth_strong': None, 'net_margin_healthy': True, 'fcf_margin_healthy': None})</t>
  </si>
  <si>
    <t>OrderedDict({'de_ok': True, 'peg_ok': True, 'rev_growth_pos': True, 'rev_growth_strong': None, 'eps_growth_pos': True, 'eps_growth_strong': True, 'net_margin_healthy': None, 'fcf_margin_healthy': None})</t>
  </si>
  <si>
    <t>OrderedDict({'de_ok': True, 'peg_ok': True, 'rev_growth_pos': True, 'rev_growth_strong': True, 'eps_growth_pos': None, 'eps_growth_strong': None, 'net_margin_healthy': True, 'fcf_margin_healthy': None})</t>
  </si>
  <si>
    <t>OrderedDict({'de_ok': None, 'peg_ok': None, 'rev_growth_pos': True, 'rev_growth_strong': None, 'eps_growth_pos': None, 'eps_growth_strong': None, 'net_margin_healthy': True, 'fcf_margin_healthy': None})</t>
  </si>
  <si>
    <t>OrderedDict({'de_ok': True, 'peg_ok': None, 'rev_growth_pos': True, 'rev_growth_strong': True, 'eps_growth_pos': None, 'eps_growth_strong': None, 'net_margin_healthy': None, 'fcf_margin_healthy': None})</t>
  </si>
  <si>
    <t>OrderedDict({'de_ok': None, 'peg_ok': True, 'rev_growth_pos': True, 'rev_growth_strong': True, 'eps_growth_pos': None, 'eps_growth_strong': None, 'net_margin_healthy': None, 'fcf_margin_healthy': None})</t>
  </si>
  <si>
    <t>OrderedDict({'de_ok': True, 'peg_ok': None, 'rev_growth_pos': True, 'rev_growth_strong': True, 'eps_growth_pos': None, 'eps_growth_strong': None, 'net_margin_healthy': True, 'fcf_margin_healthy': None})</t>
  </si>
  <si>
    <t>OrderedDict({'de_ok': True, 'peg_ok': None, 'rev_growth_pos': None, 'rev_growth_strong': None, 'eps_growth_pos': True, 'eps_growth_strong': True, 'net_margin_healthy': True, 'fcf_margin_healthy': None})</t>
  </si>
  <si>
    <t>OrderedDict({'de_ok': None, 'peg_ok': None, 'rev_growth_pos': True, 'rev_growth_strong': True, 'eps_growth_pos': True, 'eps_growth_strong': True, 'net_margin_healthy': True, 'fcf_margin_healthy': None})</t>
  </si>
  <si>
    <t>OrderedDict({'de_ok': None, 'peg_ok': True, 'rev_growth_pos': True, 'rev_growth_strong': None, 'eps_growth_pos': True, 'eps_growth_strong': True, 'net_margin_healthy': None, 'fcf_margin_healthy': None})</t>
  </si>
  <si>
    <t>OrderedDict({'de_ok': True, 'peg_ok': None, 'rev_growth_pos': None, 'rev_growth_strong': None, 'eps_growth_pos': True, 'eps_growth_strong': None, 'net_margin_healthy': True, 'fcf_margin_healthy': None})</t>
  </si>
  <si>
    <t>OrderedDict({'de_ok': True, 'peg_ok': None, 'rev_growth_pos': True, 'rev_growth_strong': None, 'eps_growth_pos': None, 'eps_growth_strong': None, 'net_margin_healthy': True, 'fcf_margin_healthy': None})</t>
  </si>
  <si>
    <t>OrderedDict({'de_ok': True, 'peg_ok': None, 'rev_growth_pos': None, 'rev_growth_strong': None, 'eps_growth_pos': True, 'eps_growth_strong': True, 'net_margin_healthy': None, 'fcf_margin_healthy': None})</t>
  </si>
  <si>
    <t>OrderedDict({'de_ok': None, 'peg_ok': None, 'rev_growth_pos': True, 'rev_growth_strong': None, 'eps_growth_pos': None, 'eps_growth_strong': None, 'net_margin_healthy': None, 'fcf_margin_healthy': None})</t>
  </si>
  <si>
    <t>OrderedDict({'de_ok': None, 'peg_ok': None, 'rev_growth_pos': None, 'rev_growth_strong': None, 'eps_growth_pos': None, 'eps_growth_strong': None, 'net_margin_healthy': None, 'fcf_margin_healthy': None})</t>
  </si>
  <si>
    <t>OrderedDict({'de_ok': True, 'peg_ok': True, 'rev_growth_pos': None, 'rev_growth_strong': None, 'eps_growth_pos': None, 'eps_growth_strong': None, 'net_margin_healthy': None, 'fcf_margin_healthy': None})</t>
  </si>
  <si>
    <t>OrderedDict({'de_ok': True, 'peg_ok': True, 'rev_growth_pos': True, 'rev_growth_strong': True, 'eps_growth_pos': None, 'eps_growth_strong': None, 'net_margin_healthy': None, 'fcf_margin_healthy': None})</t>
  </si>
  <si>
    <t>OrderedDict({'de_ok': True, 'peg_ok': True, 'rev_growth_pos': True, 'rev_growth_strong': True, 'eps_growth_pos': True, 'eps_growth_strong': None, 'net_margin_healthy': None, 'fcf_margin_healthy': None})</t>
  </si>
  <si>
    <t>rank_composite</t>
  </si>
  <si>
    <t>vol_ratio</t>
  </si>
  <si>
    <t>macd_hist</t>
  </si>
  <si>
    <t>macd_line_gt_signal</t>
  </si>
  <si>
    <t>trend_bias_ok</t>
  </si>
  <si>
    <t>timing_window_ok</t>
  </si>
  <si>
    <t>confirm_ok</t>
  </si>
  <si>
    <t>risk_reward</t>
  </si>
  <si>
    <t>rr_ok</t>
  </si>
  <si>
    <t>size_shares_calc</t>
  </si>
  <si>
    <t>trail_stop_price</t>
  </si>
  <si>
    <t>setup_ok</t>
  </si>
</sst>
</file>

<file path=xl/styles.xml><?xml version="1.0" encoding="utf-8"?>
<styleSheet xmlns="http://schemas.openxmlformats.org/spreadsheetml/2006/main">
  <numFmts count="1">
    <numFmt numFmtId="164" formatCode="$#,##0.00"/>
  </numFmts>
  <fonts count="2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2F2F2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4">
    <xf numFmtId="0" fontId="0" fillId="0" borderId="0" xfId="0"/>
    <xf numFmtId="1" fontId="0" fillId="0" borderId="0" xfId="0" applyNumberFormat="1"/>
    <xf numFmtId="164" fontId="0" fillId="0" borderId="0" xfId="0" applyNumberFormat="1"/>
    <xf numFmtId="0" fontId="1" fillId="2" borderId="1" xfId="0" applyFont="1" applyFill="1" applyBorder="1" applyAlignment="1">
      <alignment horizontal="center" vertical="center"/>
    </xf>
  </cellXfs>
  <cellStyles count="1">
    <cellStyle name="Normal" xfId="0" builtinId="0"/>
  </cellStyles>
  <dxfs count="5">
    <dxf>
      <font>
        <color rgb="FF006100"/>
      </font>
      <fill>
        <patternFill>
          <bgColor rgb="FFC6EFCE"/>
        </patternFill>
      </fill>
    </dxf>
    <dxf>
      <fill>
        <patternFill>
          <bgColor rgb="FFFFE699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E7F3FF"/>
        </patternFill>
      </fill>
    </dxf>
    <dxf>
      <fill>
        <patternFill>
          <bgColor rgb="FFFAFAFA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20" Type="http://schemas.openxmlformats.org/officeDocument/2006/relationships/image" Target="../media/image20.pn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23" Type="http://schemas.openxmlformats.org/officeDocument/2006/relationships/image" Target="../media/image23.png"/><Relationship Id="rId24" Type="http://schemas.openxmlformats.org/officeDocument/2006/relationships/image" Target="../media/image24.png"/><Relationship Id="rId25" Type="http://schemas.openxmlformats.org/officeDocument/2006/relationships/image" Target="../media/image25.png"/><Relationship Id="rId26" Type="http://schemas.openxmlformats.org/officeDocument/2006/relationships/image" Target="../media/image26.png"/><Relationship Id="rId27" Type="http://schemas.openxmlformats.org/officeDocument/2006/relationships/image" Target="../media/image27.png"/><Relationship Id="rId28" Type="http://schemas.openxmlformats.org/officeDocument/2006/relationships/image" Target="../media/image28.png"/><Relationship Id="rId29" Type="http://schemas.openxmlformats.org/officeDocument/2006/relationships/image" Target="../media/image29.png"/><Relationship Id="rId30" Type="http://schemas.openxmlformats.org/officeDocument/2006/relationships/image" Target="../media/image30.png"/><Relationship Id="rId31" Type="http://schemas.openxmlformats.org/officeDocument/2006/relationships/image" Target="../media/image31.png"/><Relationship Id="rId32" Type="http://schemas.openxmlformats.org/officeDocument/2006/relationships/image" Target="../media/image32.png"/><Relationship Id="rId33" Type="http://schemas.openxmlformats.org/officeDocument/2006/relationships/image" Target="../media/image33.png"/><Relationship Id="rId34" Type="http://schemas.openxmlformats.org/officeDocument/2006/relationships/image" Target="../media/image34.png"/><Relationship Id="rId35" Type="http://schemas.openxmlformats.org/officeDocument/2006/relationships/image" Target="../media/image35.png"/><Relationship Id="rId36" Type="http://schemas.openxmlformats.org/officeDocument/2006/relationships/image" Target="../media/image36.png"/><Relationship Id="rId37" Type="http://schemas.openxmlformats.org/officeDocument/2006/relationships/image" Target="../media/image37.png"/><Relationship Id="rId38" Type="http://schemas.openxmlformats.org/officeDocument/2006/relationships/image" Target="../media/image38.png"/><Relationship Id="rId39" Type="http://schemas.openxmlformats.org/officeDocument/2006/relationships/image" Target="../media/image39.png"/><Relationship Id="rId40" Type="http://schemas.openxmlformats.org/officeDocument/2006/relationships/image" Target="../media/image40.png"/><Relationship Id="rId41" Type="http://schemas.openxmlformats.org/officeDocument/2006/relationships/image" Target="../media/image41.png"/><Relationship Id="rId42" Type="http://schemas.openxmlformats.org/officeDocument/2006/relationships/image" Target="../media/image42.png"/><Relationship Id="rId43" Type="http://schemas.openxmlformats.org/officeDocument/2006/relationships/image" Target="../media/image43.png"/><Relationship Id="rId44" Type="http://schemas.openxmlformats.org/officeDocument/2006/relationships/image" Target="../media/image44.png"/><Relationship Id="rId45" Type="http://schemas.openxmlformats.org/officeDocument/2006/relationships/image" Target="../media/image45.png"/><Relationship Id="rId46" Type="http://schemas.openxmlformats.org/officeDocument/2006/relationships/image" Target="../media/image46.png"/><Relationship Id="rId47" Type="http://schemas.openxmlformats.org/officeDocument/2006/relationships/image" Target="../media/image47.png"/><Relationship Id="rId48" Type="http://schemas.openxmlformats.org/officeDocument/2006/relationships/image" Target="../media/image48.png"/><Relationship Id="rId49" Type="http://schemas.openxmlformats.org/officeDocument/2006/relationships/image" Target="../media/image49.png"/><Relationship Id="rId50" Type="http://schemas.openxmlformats.org/officeDocument/2006/relationships/image" Target="../media/image50.png"/><Relationship Id="rId51" Type="http://schemas.openxmlformats.org/officeDocument/2006/relationships/image" Target="../media/image51.png"/><Relationship Id="rId52" Type="http://schemas.openxmlformats.org/officeDocument/2006/relationships/image" Target="../media/image52.png"/><Relationship Id="rId53" Type="http://schemas.openxmlformats.org/officeDocument/2006/relationships/image" Target="../media/image53.png"/><Relationship Id="rId54" Type="http://schemas.openxmlformats.org/officeDocument/2006/relationships/image" Target="../media/image54.png"/><Relationship Id="rId55" Type="http://schemas.openxmlformats.org/officeDocument/2006/relationships/image" Target="../media/image55.png"/><Relationship Id="rId56" Type="http://schemas.openxmlformats.org/officeDocument/2006/relationships/image" Target="../media/image56.png"/><Relationship Id="rId57" Type="http://schemas.openxmlformats.org/officeDocument/2006/relationships/image" Target="../media/image57.png"/><Relationship Id="rId58" Type="http://schemas.openxmlformats.org/officeDocument/2006/relationships/image" Target="../media/image58.png"/><Relationship Id="rId59" Type="http://schemas.openxmlformats.org/officeDocument/2006/relationships/image" Target="../media/image59.png"/><Relationship Id="rId60" Type="http://schemas.openxmlformats.org/officeDocument/2006/relationships/image" Target="../media/image60.png"/><Relationship Id="rId61" Type="http://schemas.openxmlformats.org/officeDocument/2006/relationships/image" Target="../media/image61.png"/><Relationship Id="rId62" Type="http://schemas.openxmlformats.org/officeDocument/2006/relationships/image" Target="../media/image62.png"/><Relationship Id="rId63" Type="http://schemas.openxmlformats.org/officeDocument/2006/relationships/image" Target="../media/image63.png"/><Relationship Id="rId64" Type="http://schemas.openxmlformats.org/officeDocument/2006/relationships/image" Target="../media/image64.png"/><Relationship Id="rId65" Type="http://schemas.openxmlformats.org/officeDocument/2006/relationships/image" Target="../media/image65.png"/><Relationship Id="rId66" Type="http://schemas.openxmlformats.org/officeDocument/2006/relationships/image" Target="../media/image66.png"/><Relationship Id="rId67" Type="http://schemas.openxmlformats.org/officeDocument/2006/relationships/image" Target="../media/image67.png"/><Relationship Id="rId68" Type="http://schemas.openxmlformats.org/officeDocument/2006/relationships/image" Target="../media/image68.png"/><Relationship Id="rId69" Type="http://schemas.openxmlformats.org/officeDocument/2006/relationships/image" Target="../media/image69.png"/><Relationship Id="rId70" Type="http://schemas.openxmlformats.org/officeDocument/2006/relationships/image" Target="../media/image70.png"/><Relationship Id="rId71" Type="http://schemas.openxmlformats.org/officeDocument/2006/relationships/image" Target="../media/image71.png"/><Relationship Id="rId72" Type="http://schemas.openxmlformats.org/officeDocument/2006/relationships/image" Target="../media/image72.png"/><Relationship Id="rId73" Type="http://schemas.openxmlformats.org/officeDocument/2006/relationships/image" Target="../media/image73.png"/><Relationship Id="rId74" Type="http://schemas.openxmlformats.org/officeDocument/2006/relationships/image" Target="../media/image74.png"/><Relationship Id="rId75" Type="http://schemas.openxmlformats.org/officeDocument/2006/relationships/image" Target="../media/image75.png"/><Relationship Id="rId76" Type="http://schemas.openxmlformats.org/officeDocument/2006/relationships/image" Target="../media/image76.png"/><Relationship Id="rId77" Type="http://schemas.openxmlformats.org/officeDocument/2006/relationships/image" Target="../media/image77.png"/><Relationship Id="rId78" Type="http://schemas.openxmlformats.org/officeDocument/2006/relationships/image" Target="../media/image78.png"/><Relationship Id="rId79" Type="http://schemas.openxmlformats.org/officeDocument/2006/relationships/image" Target="../media/image79.png"/><Relationship Id="rId80" Type="http://schemas.openxmlformats.org/officeDocument/2006/relationships/image" Target="../media/image80.png"/><Relationship Id="rId81" Type="http://schemas.openxmlformats.org/officeDocument/2006/relationships/image" Target="../media/image81.png"/><Relationship Id="rId82" Type="http://schemas.openxmlformats.org/officeDocument/2006/relationships/image" Target="../media/image82.png"/><Relationship Id="rId83" Type="http://schemas.openxmlformats.org/officeDocument/2006/relationships/image" Target="../media/image83.png"/><Relationship Id="rId84" Type="http://schemas.openxmlformats.org/officeDocument/2006/relationships/image" Target="../media/image84.png"/><Relationship Id="rId85" Type="http://schemas.openxmlformats.org/officeDocument/2006/relationships/image" Target="../media/image85.png"/><Relationship Id="rId86" Type="http://schemas.openxmlformats.org/officeDocument/2006/relationships/image" Target="../media/image86.png"/><Relationship Id="rId87" Type="http://schemas.openxmlformats.org/officeDocument/2006/relationships/image" Target="../media/image87.png"/><Relationship Id="rId88" Type="http://schemas.openxmlformats.org/officeDocument/2006/relationships/image" Target="../media/image88.png"/><Relationship Id="rId89" Type="http://schemas.openxmlformats.org/officeDocument/2006/relationships/image" Target="../media/image89.png"/><Relationship Id="rId90" Type="http://schemas.openxmlformats.org/officeDocument/2006/relationships/image" Target="../media/image90.png"/><Relationship Id="rId91" Type="http://schemas.openxmlformats.org/officeDocument/2006/relationships/image" Target="../media/image91.png"/><Relationship Id="rId92" Type="http://schemas.openxmlformats.org/officeDocument/2006/relationships/image" Target="../media/image92.png"/><Relationship Id="rId93" Type="http://schemas.openxmlformats.org/officeDocument/2006/relationships/image" Target="../media/image93.png"/><Relationship Id="rId94" Type="http://schemas.openxmlformats.org/officeDocument/2006/relationships/image" Target="../media/image94.png"/><Relationship Id="rId95" Type="http://schemas.openxmlformats.org/officeDocument/2006/relationships/image" Target="../media/image95.png"/><Relationship Id="rId96" Type="http://schemas.openxmlformats.org/officeDocument/2006/relationships/image" Target="../media/image96.png"/><Relationship Id="rId97" Type="http://schemas.openxmlformats.org/officeDocument/2006/relationships/image" Target="../media/image97.png"/><Relationship Id="rId98" Type="http://schemas.openxmlformats.org/officeDocument/2006/relationships/image" Target="../media/image98.png"/><Relationship Id="rId99" Type="http://schemas.openxmlformats.org/officeDocument/2006/relationships/image" Target="../media/image99.png"/><Relationship Id="rId100" Type="http://schemas.openxmlformats.org/officeDocument/2006/relationships/image" Target="../media/image100.png"/><Relationship Id="rId101" Type="http://schemas.openxmlformats.org/officeDocument/2006/relationships/image" Target="../media/image101.png"/><Relationship Id="rId102" Type="http://schemas.openxmlformats.org/officeDocument/2006/relationships/image" Target="../media/image102.png"/><Relationship Id="rId103" Type="http://schemas.openxmlformats.org/officeDocument/2006/relationships/image" Target="../media/image103.png"/><Relationship Id="rId104" Type="http://schemas.openxmlformats.org/officeDocument/2006/relationships/image" Target="../media/image104.png"/><Relationship Id="rId105" Type="http://schemas.openxmlformats.org/officeDocument/2006/relationships/image" Target="../media/image105.png"/><Relationship Id="rId106" Type="http://schemas.openxmlformats.org/officeDocument/2006/relationships/image" Target="../media/image106.png"/><Relationship Id="rId107" Type="http://schemas.openxmlformats.org/officeDocument/2006/relationships/image" Target="../media/image107.png"/><Relationship Id="rId108" Type="http://schemas.openxmlformats.org/officeDocument/2006/relationships/image" Target="../media/image108.png"/><Relationship Id="rId109" Type="http://schemas.openxmlformats.org/officeDocument/2006/relationships/image" Target="../media/image109.png"/><Relationship Id="rId110" Type="http://schemas.openxmlformats.org/officeDocument/2006/relationships/image" Target="../media/image110.png"/><Relationship Id="rId111" Type="http://schemas.openxmlformats.org/officeDocument/2006/relationships/image" Target="../media/image111.png"/><Relationship Id="rId112" Type="http://schemas.openxmlformats.org/officeDocument/2006/relationships/image" Target="../media/image112.png"/><Relationship Id="rId113" Type="http://schemas.openxmlformats.org/officeDocument/2006/relationships/image" Target="../media/image113.png"/><Relationship Id="rId114" Type="http://schemas.openxmlformats.org/officeDocument/2006/relationships/image" Target="../media/image114.png"/><Relationship Id="rId115" Type="http://schemas.openxmlformats.org/officeDocument/2006/relationships/image" Target="../media/image115.png"/><Relationship Id="rId116" Type="http://schemas.openxmlformats.org/officeDocument/2006/relationships/image" Target="../media/image116.png"/><Relationship Id="rId117" Type="http://schemas.openxmlformats.org/officeDocument/2006/relationships/image" Target="../media/image117.png"/><Relationship Id="rId118" Type="http://schemas.openxmlformats.org/officeDocument/2006/relationships/image" Target="../media/image118.png"/><Relationship Id="rId119" Type="http://schemas.openxmlformats.org/officeDocument/2006/relationships/image" Target="../media/image119.png"/><Relationship Id="rId120" Type="http://schemas.openxmlformats.org/officeDocument/2006/relationships/image" Target="../media/image120.png"/><Relationship Id="rId121" Type="http://schemas.openxmlformats.org/officeDocument/2006/relationships/image" Target="../media/image121.png"/><Relationship Id="rId122" Type="http://schemas.openxmlformats.org/officeDocument/2006/relationships/image" Target="../media/image122.png"/><Relationship Id="rId123" Type="http://schemas.openxmlformats.org/officeDocument/2006/relationships/image" Target="../media/image123.png"/><Relationship Id="rId124" Type="http://schemas.openxmlformats.org/officeDocument/2006/relationships/image" Target="../media/image124.png"/><Relationship Id="rId125" Type="http://schemas.openxmlformats.org/officeDocument/2006/relationships/image" Target="../media/image125.png"/><Relationship Id="rId126" Type="http://schemas.openxmlformats.org/officeDocument/2006/relationships/image" Target="../media/image126.png"/><Relationship Id="rId127" Type="http://schemas.openxmlformats.org/officeDocument/2006/relationships/image" Target="../media/image127.png"/><Relationship Id="rId128" Type="http://schemas.openxmlformats.org/officeDocument/2006/relationships/image" Target="../media/image128.png"/><Relationship Id="rId129" Type="http://schemas.openxmlformats.org/officeDocument/2006/relationships/image" Target="../media/image129.png"/><Relationship Id="rId130" Type="http://schemas.openxmlformats.org/officeDocument/2006/relationships/image" Target="../media/image130.png"/><Relationship Id="rId131" Type="http://schemas.openxmlformats.org/officeDocument/2006/relationships/image" Target="../media/image131.png"/><Relationship Id="rId132" Type="http://schemas.openxmlformats.org/officeDocument/2006/relationships/image" Target="../media/image132.png"/><Relationship Id="rId133" Type="http://schemas.openxmlformats.org/officeDocument/2006/relationships/image" Target="../media/image133.png"/><Relationship Id="rId134" Type="http://schemas.openxmlformats.org/officeDocument/2006/relationships/image" Target="../media/image134.png"/><Relationship Id="rId135" Type="http://schemas.openxmlformats.org/officeDocument/2006/relationships/image" Target="../media/image135.png"/><Relationship Id="rId136" Type="http://schemas.openxmlformats.org/officeDocument/2006/relationships/image" Target="../media/image136.png"/><Relationship Id="rId137" Type="http://schemas.openxmlformats.org/officeDocument/2006/relationships/image" Target="../media/image137.png"/><Relationship Id="rId138" Type="http://schemas.openxmlformats.org/officeDocument/2006/relationships/image" Target="../media/image138.png"/><Relationship Id="rId139" Type="http://schemas.openxmlformats.org/officeDocument/2006/relationships/image" Target="../media/image139.png"/><Relationship Id="rId140" Type="http://schemas.openxmlformats.org/officeDocument/2006/relationships/image" Target="../media/image140.png"/><Relationship Id="rId141" Type="http://schemas.openxmlformats.org/officeDocument/2006/relationships/image" Target="../media/image141.png"/><Relationship Id="rId142" Type="http://schemas.openxmlformats.org/officeDocument/2006/relationships/image" Target="../media/image142.png"/><Relationship Id="rId143" Type="http://schemas.openxmlformats.org/officeDocument/2006/relationships/image" Target="../media/image143.png"/><Relationship Id="rId144" Type="http://schemas.openxmlformats.org/officeDocument/2006/relationships/image" Target="../media/image144.png"/><Relationship Id="rId145" Type="http://schemas.openxmlformats.org/officeDocument/2006/relationships/image" Target="../media/image145.png"/><Relationship Id="rId146" Type="http://schemas.openxmlformats.org/officeDocument/2006/relationships/image" Target="../media/image146.png"/><Relationship Id="rId147" Type="http://schemas.openxmlformats.org/officeDocument/2006/relationships/image" Target="../media/image147.png"/><Relationship Id="rId148" Type="http://schemas.openxmlformats.org/officeDocument/2006/relationships/image" Target="../media/image148.png"/><Relationship Id="rId149" Type="http://schemas.openxmlformats.org/officeDocument/2006/relationships/image" Target="../media/image149.png"/><Relationship Id="rId150" Type="http://schemas.openxmlformats.org/officeDocument/2006/relationships/image" Target="../media/image150.png"/><Relationship Id="rId151" Type="http://schemas.openxmlformats.org/officeDocument/2006/relationships/image" Target="../media/image151.png"/><Relationship Id="rId152" Type="http://schemas.openxmlformats.org/officeDocument/2006/relationships/image" Target="../media/image152.png"/><Relationship Id="rId153" Type="http://schemas.openxmlformats.org/officeDocument/2006/relationships/image" Target="../media/image153.png"/><Relationship Id="rId154" Type="http://schemas.openxmlformats.org/officeDocument/2006/relationships/image" Target="../media/image154.png"/><Relationship Id="rId155" Type="http://schemas.openxmlformats.org/officeDocument/2006/relationships/image" Target="../media/image155.png"/><Relationship Id="rId156" Type="http://schemas.openxmlformats.org/officeDocument/2006/relationships/image" Target="../media/image156.png"/><Relationship Id="rId157" Type="http://schemas.openxmlformats.org/officeDocument/2006/relationships/image" Target="../media/image157.png"/><Relationship Id="rId158" Type="http://schemas.openxmlformats.org/officeDocument/2006/relationships/image" Target="../media/image158.png"/><Relationship Id="rId159" Type="http://schemas.openxmlformats.org/officeDocument/2006/relationships/image" Target="../media/image159.png"/><Relationship Id="rId160" Type="http://schemas.openxmlformats.org/officeDocument/2006/relationships/image" Target="../media/image160.png"/><Relationship Id="rId161" Type="http://schemas.openxmlformats.org/officeDocument/2006/relationships/image" Target="../media/image161.png"/><Relationship Id="rId162" Type="http://schemas.openxmlformats.org/officeDocument/2006/relationships/image" Target="../media/image162.png"/><Relationship Id="rId163" Type="http://schemas.openxmlformats.org/officeDocument/2006/relationships/image" Target="../media/image163.png"/><Relationship Id="rId164" Type="http://schemas.openxmlformats.org/officeDocument/2006/relationships/image" Target="../media/image164.png"/><Relationship Id="rId165" Type="http://schemas.openxmlformats.org/officeDocument/2006/relationships/image" Target="../media/image165.png"/><Relationship Id="rId166" Type="http://schemas.openxmlformats.org/officeDocument/2006/relationships/image" Target="../media/image166.png"/><Relationship Id="rId167" Type="http://schemas.openxmlformats.org/officeDocument/2006/relationships/image" Target="../media/image167.png"/><Relationship Id="rId168" Type="http://schemas.openxmlformats.org/officeDocument/2006/relationships/image" Target="../media/image168.png"/><Relationship Id="rId169" Type="http://schemas.openxmlformats.org/officeDocument/2006/relationships/image" Target="../media/image169.png"/><Relationship Id="rId170" Type="http://schemas.openxmlformats.org/officeDocument/2006/relationships/image" Target="../media/image170.png"/><Relationship Id="rId171" Type="http://schemas.openxmlformats.org/officeDocument/2006/relationships/image" Target="../media/image171.png"/><Relationship Id="rId172" Type="http://schemas.openxmlformats.org/officeDocument/2006/relationships/image" Target="../media/image172.png"/><Relationship Id="rId173" Type="http://schemas.openxmlformats.org/officeDocument/2006/relationships/image" Target="../media/image173.png"/><Relationship Id="rId174" Type="http://schemas.openxmlformats.org/officeDocument/2006/relationships/image" Target="../media/image174.png"/><Relationship Id="rId175" Type="http://schemas.openxmlformats.org/officeDocument/2006/relationships/image" Target="../media/image175.png"/><Relationship Id="rId176" Type="http://schemas.openxmlformats.org/officeDocument/2006/relationships/image" Target="../media/image176.png"/><Relationship Id="rId177" Type="http://schemas.openxmlformats.org/officeDocument/2006/relationships/image" Target="../media/image177.png"/><Relationship Id="rId178" Type="http://schemas.openxmlformats.org/officeDocument/2006/relationships/image" Target="../media/image178.png"/><Relationship Id="rId179" Type="http://schemas.openxmlformats.org/officeDocument/2006/relationships/image" Target="../media/image179.png"/><Relationship Id="rId180" Type="http://schemas.openxmlformats.org/officeDocument/2006/relationships/image" Target="../media/image180.png"/><Relationship Id="rId181" Type="http://schemas.openxmlformats.org/officeDocument/2006/relationships/image" Target="../media/image181.png"/><Relationship Id="rId182" Type="http://schemas.openxmlformats.org/officeDocument/2006/relationships/image" Target="../media/image182.png"/><Relationship Id="rId183" Type="http://schemas.openxmlformats.org/officeDocument/2006/relationships/image" Target="../media/image183.png"/><Relationship Id="rId184" Type="http://schemas.openxmlformats.org/officeDocument/2006/relationships/image" Target="../media/image184.png"/><Relationship Id="rId185" Type="http://schemas.openxmlformats.org/officeDocument/2006/relationships/image" Target="../media/image185.png"/><Relationship Id="rId186" Type="http://schemas.openxmlformats.org/officeDocument/2006/relationships/image" Target="../media/image186.png"/><Relationship Id="rId187" Type="http://schemas.openxmlformats.org/officeDocument/2006/relationships/image" Target="../media/image187.png"/><Relationship Id="rId188" Type="http://schemas.openxmlformats.org/officeDocument/2006/relationships/image" Target="../media/image188.png"/><Relationship Id="rId189" Type="http://schemas.openxmlformats.org/officeDocument/2006/relationships/image" Target="../media/image189.png"/><Relationship Id="rId190" Type="http://schemas.openxmlformats.org/officeDocument/2006/relationships/image" Target="../media/image190.png"/><Relationship Id="rId191" Type="http://schemas.openxmlformats.org/officeDocument/2006/relationships/image" Target="../media/image191.png"/><Relationship Id="rId192" Type="http://schemas.openxmlformats.org/officeDocument/2006/relationships/image" Target="../media/image192.png"/><Relationship Id="rId193" Type="http://schemas.openxmlformats.org/officeDocument/2006/relationships/image" Target="../media/image193.png"/><Relationship Id="rId194" Type="http://schemas.openxmlformats.org/officeDocument/2006/relationships/image" Target="../media/image194.png"/><Relationship Id="rId195" Type="http://schemas.openxmlformats.org/officeDocument/2006/relationships/image" Target="../media/image195.png"/><Relationship Id="rId196" Type="http://schemas.openxmlformats.org/officeDocument/2006/relationships/image" Target="../media/image196.png"/><Relationship Id="rId197" Type="http://schemas.openxmlformats.org/officeDocument/2006/relationships/image" Target="../media/image197.png"/><Relationship Id="rId198" Type="http://schemas.openxmlformats.org/officeDocument/2006/relationships/image" Target="../media/image198.png"/><Relationship Id="rId199" Type="http://schemas.openxmlformats.org/officeDocument/2006/relationships/image" Target="../media/image199.png"/><Relationship Id="rId200" Type="http://schemas.openxmlformats.org/officeDocument/2006/relationships/image" Target="../media/image200.png"/><Relationship Id="rId201" Type="http://schemas.openxmlformats.org/officeDocument/2006/relationships/image" Target="../media/image201.png"/><Relationship Id="rId202" Type="http://schemas.openxmlformats.org/officeDocument/2006/relationships/image" Target="../media/image202.png"/><Relationship Id="rId203" Type="http://schemas.openxmlformats.org/officeDocument/2006/relationships/image" Target="../media/image203.png"/><Relationship Id="rId204" Type="http://schemas.openxmlformats.org/officeDocument/2006/relationships/image" Target="../media/image204.png"/><Relationship Id="rId205" Type="http://schemas.openxmlformats.org/officeDocument/2006/relationships/image" Target="../media/image205.png"/><Relationship Id="rId206" Type="http://schemas.openxmlformats.org/officeDocument/2006/relationships/image" Target="../media/image206.png"/><Relationship Id="rId207" Type="http://schemas.openxmlformats.org/officeDocument/2006/relationships/image" Target="../media/image207.png"/><Relationship Id="rId208" Type="http://schemas.openxmlformats.org/officeDocument/2006/relationships/image" Target="../media/image208.png"/><Relationship Id="rId209" Type="http://schemas.openxmlformats.org/officeDocument/2006/relationships/image" Target="../media/image209.png"/><Relationship Id="rId210" Type="http://schemas.openxmlformats.org/officeDocument/2006/relationships/image" Target="../media/image210.png"/><Relationship Id="rId211" Type="http://schemas.openxmlformats.org/officeDocument/2006/relationships/image" Target="../media/image211.png"/><Relationship Id="rId212" Type="http://schemas.openxmlformats.org/officeDocument/2006/relationships/image" Target="../media/image2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6</xdr:col>
      <xdr:colOff>463303</xdr:colOff>
      <xdr:row>13</xdr:row>
      <xdr:rowOff>156977</xdr:rowOff>
    </xdr:to>
    <xdr:pic>
      <xdr:nvPicPr>
        <xdr:cNvPr id="2" name="Picture 1" descr="UNH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775" y="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6</xdr:col>
      <xdr:colOff>463303</xdr:colOff>
      <xdr:row>33</xdr:row>
      <xdr:rowOff>156977</xdr:rowOff>
    </xdr:to>
    <xdr:pic>
      <xdr:nvPicPr>
        <xdr:cNvPr id="3" name="Picture 2" descr="EMP-A_TO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47775" y="38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6</xdr:col>
      <xdr:colOff>463303</xdr:colOff>
      <xdr:row>53</xdr:row>
      <xdr:rowOff>156977</xdr:rowOff>
    </xdr:to>
    <xdr:pic>
      <xdr:nvPicPr>
        <xdr:cNvPr id="4" name="Picture 3" descr="FSLR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47775" y="76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6</xdr:col>
      <xdr:colOff>463303</xdr:colOff>
      <xdr:row>73</xdr:row>
      <xdr:rowOff>156977</xdr:rowOff>
    </xdr:to>
    <xdr:pic>
      <xdr:nvPicPr>
        <xdr:cNvPr id="5" name="Picture 4" descr="NEE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47775" y="114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6</xdr:col>
      <xdr:colOff>463303</xdr:colOff>
      <xdr:row>93</xdr:row>
      <xdr:rowOff>156977</xdr:rowOff>
    </xdr:to>
    <xdr:pic>
      <xdr:nvPicPr>
        <xdr:cNvPr id="6" name="Picture 5" descr="BIIB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7775" y="152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6</xdr:col>
      <xdr:colOff>463303</xdr:colOff>
      <xdr:row>113</xdr:row>
      <xdr:rowOff>156977</xdr:rowOff>
    </xdr:to>
    <xdr:pic>
      <xdr:nvPicPr>
        <xdr:cNvPr id="7" name="Picture 6" descr="GRT-UN_TO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47775" y="190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6</xdr:col>
      <xdr:colOff>463303</xdr:colOff>
      <xdr:row>133</xdr:row>
      <xdr:rowOff>156977</xdr:rowOff>
    </xdr:to>
    <xdr:pic>
      <xdr:nvPicPr>
        <xdr:cNvPr id="8" name="Picture 7" descr="MX_TO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47775" y="228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6</xdr:col>
      <xdr:colOff>463303</xdr:colOff>
      <xdr:row>153</xdr:row>
      <xdr:rowOff>156977</xdr:rowOff>
    </xdr:to>
    <xdr:pic>
      <xdr:nvPicPr>
        <xdr:cNvPr id="9" name="Picture 8" descr="REGN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7775" y="266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6</xdr:col>
      <xdr:colOff>463303</xdr:colOff>
      <xdr:row>173</xdr:row>
      <xdr:rowOff>156977</xdr:rowOff>
    </xdr:to>
    <xdr:pic>
      <xdr:nvPicPr>
        <xdr:cNvPr id="10" name="Picture 9" descr="INTC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47775" y="304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6</xdr:col>
      <xdr:colOff>463303</xdr:colOff>
      <xdr:row>193</xdr:row>
      <xdr:rowOff>156977</xdr:rowOff>
    </xdr:to>
    <xdr:pic>
      <xdr:nvPicPr>
        <xdr:cNvPr id="11" name="Picture 10" descr="TMO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7775" y="342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6</xdr:col>
      <xdr:colOff>463303</xdr:colOff>
      <xdr:row>213</xdr:row>
      <xdr:rowOff>156977</xdr:rowOff>
    </xdr:to>
    <xdr:pic>
      <xdr:nvPicPr>
        <xdr:cNvPr id="12" name="Picture 11" descr="GIL_TO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47775" y="381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6</xdr:col>
      <xdr:colOff>463303</xdr:colOff>
      <xdr:row>233</xdr:row>
      <xdr:rowOff>156977</xdr:rowOff>
    </xdr:to>
    <xdr:pic>
      <xdr:nvPicPr>
        <xdr:cNvPr id="13" name="Picture 12" descr="DAL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47775" y="419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6</xdr:col>
      <xdr:colOff>463303</xdr:colOff>
      <xdr:row>253</xdr:row>
      <xdr:rowOff>156977</xdr:rowOff>
    </xdr:to>
    <xdr:pic>
      <xdr:nvPicPr>
        <xdr:cNvPr id="14" name="Picture 13" descr="RY_TO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47775" y="457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260</xdr:row>
      <xdr:rowOff>0</xdr:rowOff>
    </xdr:from>
    <xdr:to>
      <xdr:col>6</xdr:col>
      <xdr:colOff>463303</xdr:colOff>
      <xdr:row>273</xdr:row>
      <xdr:rowOff>156977</xdr:rowOff>
    </xdr:to>
    <xdr:pic>
      <xdr:nvPicPr>
        <xdr:cNvPr id="15" name="Picture 14" descr="ABX_TO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47775" y="495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280</xdr:row>
      <xdr:rowOff>0</xdr:rowOff>
    </xdr:from>
    <xdr:to>
      <xdr:col>6</xdr:col>
      <xdr:colOff>463303</xdr:colOff>
      <xdr:row>293</xdr:row>
      <xdr:rowOff>156977</xdr:rowOff>
    </xdr:to>
    <xdr:pic>
      <xdr:nvPicPr>
        <xdr:cNvPr id="16" name="Picture 15" descr="BHC_TO.pn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47775" y="533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300</xdr:row>
      <xdr:rowOff>0</xdr:rowOff>
    </xdr:from>
    <xdr:to>
      <xdr:col>6</xdr:col>
      <xdr:colOff>463303</xdr:colOff>
      <xdr:row>313</xdr:row>
      <xdr:rowOff>156977</xdr:rowOff>
    </xdr:to>
    <xdr:pic>
      <xdr:nvPicPr>
        <xdr:cNvPr id="17" name="Picture 16" descr="ENPH.pn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47775" y="571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320</xdr:row>
      <xdr:rowOff>0</xdr:rowOff>
    </xdr:from>
    <xdr:to>
      <xdr:col>6</xdr:col>
      <xdr:colOff>463303</xdr:colOff>
      <xdr:row>333</xdr:row>
      <xdr:rowOff>156977</xdr:rowOff>
    </xdr:to>
    <xdr:pic>
      <xdr:nvPicPr>
        <xdr:cNvPr id="18" name="Picture 17" descr="QBR-B_TO.pn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47775" y="609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340</xdr:row>
      <xdr:rowOff>0</xdr:rowOff>
    </xdr:from>
    <xdr:to>
      <xdr:col>6</xdr:col>
      <xdr:colOff>463303</xdr:colOff>
      <xdr:row>353</xdr:row>
      <xdr:rowOff>156977</xdr:rowOff>
    </xdr:to>
    <xdr:pic>
      <xdr:nvPicPr>
        <xdr:cNvPr id="19" name="Picture 18" descr="SPG.pn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47775" y="647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6</xdr:col>
      <xdr:colOff>463303</xdr:colOff>
      <xdr:row>373</xdr:row>
      <xdr:rowOff>156977</xdr:rowOff>
    </xdr:to>
    <xdr:pic>
      <xdr:nvPicPr>
        <xdr:cNvPr id="20" name="Picture 19" descr="BNS_TO.pn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47775" y="685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380</xdr:row>
      <xdr:rowOff>0</xdr:rowOff>
    </xdr:from>
    <xdr:to>
      <xdr:col>6</xdr:col>
      <xdr:colOff>463303</xdr:colOff>
      <xdr:row>393</xdr:row>
      <xdr:rowOff>156977</xdr:rowOff>
    </xdr:to>
    <xdr:pic>
      <xdr:nvPicPr>
        <xdr:cNvPr id="21" name="Picture 20" descr="NA_TO.pn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47775" y="723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400</xdr:row>
      <xdr:rowOff>0</xdr:rowOff>
    </xdr:from>
    <xdr:to>
      <xdr:col>6</xdr:col>
      <xdr:colOff>463303</xdr:colOff>
      <xdr:row>413</xdr:row>
      <xdr:rowOff>156977</xdr:rowOff>
    </xdr:to>
    <xdr:pic>
      <xdr:nvPicPr>
        <xdr:cNvPr id="22" name="Picture 21" descr="TFII_TO.pn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47775" y="762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420</xdr:row>
      <xdr:rowOff>0</xdr:rowOff>
    </xdr:from>
    <xdr:to>
      <xdr:col>6</xdr:col>
      <xdr:colOff>463303</xdr:colOff>
      <xdr:row>433</xdr:row>
      <xdr:rowOff>156977</xdr:rowOff>
    </xdr:to>
    <xdr:pic>
      <xdr:nvPicPr>
        <xdr:cNvPr id="23" name="Picture 22" descr="FVI_TO.pn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47775" y="800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440</xdr:row>
      <xdr:rowOff>0</xdr:rowOff>
    </xdr:from>
    <xdr:to>
      <xdr:col>6</xdr:col>
      <xdr:colOff>463303</xdr:colOff>
      <xdr:row>453</xdr:row>
      <xdr:rowOff>156977</xdr:rowOff>
    </xdr:to>
    <xdr:pic>
      <xdr:nvPicPr>
        <xdr:cNvPr id="24" name="Picture 23" descr="CCL-B_TO.pn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47775" y="838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460</xdr:row>
      <xdr:rowOff>0</xdr:rowOff>
    </xdr:from>
    <xdr:to>
      <xdr:col>6</xdr:col>
      <xdr:colOff>463303</xdr:colOff>
      <xdr:row>473</xdr:row>
      <xdr:rowOff>156977</xdr:rowOff>
    </xdr:to>
    <xdr:pic>
      <xdr:nvPicPr>
        <xdr:cNvPr id="25" name="Picture 24" descr="NWC_TO.pn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47775" y="876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480</xdr:row>
      <xdr:rowOff>0</xdr:rowOff>
    </xdr:from>
    <xdr:to>
      <xdr:col>6</xdr:col>
      <xdr:colOff>463303</xdr:colOff>
      <xdr:row>493</xdr:row>
      <xdr:rowOff>156977</xdr:rowOff>
    </xdr:to>
    <xdr:pic>
      <xdr:nvPicPr>
        <xdr:cNvPr id="26" name="Picture 25" descr="PEP.pn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47775" y="914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500</xdr:row>
      <xdr:rowOff>0</xdr:rowOff>
    </xdr:from>
    <xdr:to>
      <xdr:col>6</xdr:col>
      <xdr:colOff>463303</xdr:colOff>
      <xdr:row>513</xdr:row>
      <xdr:rowOff>156977</xdr:rowOff>
    </xdr:to>
    <xdr:pic>
      <xdr:nvPicPr>
        <xdr:cNvPr id="27" name="Picture 26" descr="UAL.pn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7775" y="952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520</xdr:row>
      <xdr:rowOff>0</xdr:rowOff>
    </xdr:from>
    <xdr:to>
      <xdr:col>6</xdr:col>
      <xdr:colOff>463303</xdr:colOff>
      <xdr:row>533</xdr:row>
      <xdr:rowOff>156977</xdr:rowOff>
    </xdr:to>
    <xdr:pic>
      <xdr:nvPicPr>
        <xdr:cNvPr id="28" name="Picture 27" descr="PBH_TO.png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47775" y="990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540</xdr:row>
      <xdr:rowOff>0</xdr:rowOff>
    </xdr:from>
    <xdr:to>
      <xdr:col>6</xdr:col>
      <xdr:colOff>463303</xdr:colOff>
      <xdr:row>553</xdr:row>
      <xdr:rowOff>156977</xdr:rowOff>
    </xdr:to>
    <xdr:pic>
      <xdr:nvPicPr>
        <xdr:cNvPr id="29" name="Picture 28" descr="FI.png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47775" y="1028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560</xdr:row>
      <xdr:rowOff>0</xdr:rowOff>
    </xdr:from>
    <xdr:to>
      <xdr:col>6</xdr:col>
      <xdr:colOff>463303</xdr:colOff>
      <xdr:row>573</xdr:row>
      <xdr:rowOff>156977</xdr:rowOff>
    </xdr:to>
    <xdr:pic>
      <xdr:nvPicPr>
        <xdr:cNvPr id="30" name="Picture 29" descr="FCX.png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47775" y="1066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580</xdr:row>
      <xdr:rowOff>0</xdr:rowOff>
    </xdr:from>
    <xdr:to>
      <xdr:col>6</xdr:col>
      <xdr:colOff>463303</xdr:colOff>
      <xdr:row>593</xdr:row>
      <xdr:rowOff>156977</xdr:rowOff>
    </xdr:to>
    <xdr:pic>
      <xdr:nvPicPr>
        <xdr:cNvPr id="31" name="Picture 30" descr="USB.png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47775" y="1104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600</xdr:row>
      <xdr:rowOff>0</xdr:rowOff>
    </xdr:from>
    <xdr:to>
      <xdr:col>6</xdr:col>
      <xdr:colOff>463303</xdr:colOff>
      <xdr:row>613</xdr:row>
      <xdr:rowOff>156977</xdr:rowOff>
    </xdr:to>
    <xdr:pic>
      <xdr:nvPicPr>
        <xdr:cNvPr id="32" name="Picture 31" descr="EIF_TO.png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47775" y="1143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620</xdr:row>
      <xdr:rowOff>0</xdr:rowOff>
    </xdr:from>
    <xdr:to>
      <xdr:col>6</xdr:col>
      <xdr:colOff>463303</xdr:colOff>
      <xdr:row>633</xdr:row>
      <xdr:rowOff>156977</xdr:rowOff>
    </xdr:to>
    <xdr:pic>
      <xdr:nvPicPr>
        <xdr:cNvPr id="33" name="Picture 32" descr="LNR_TO.png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47775" y="1181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640</xdr:row>
      <xdr:rowOff>0</xdr:rowOff>
    </xdr:from>
    <xdr:to>
      <xdr:col>6</xdr:col>
      <xdr:colOff>463303</xdr:colOff>
      <xdr:row>653</xdr:row>
      <xdr:rowOff>156977</xdr:rowOff>
    </xdr:to>
    <xdr:pic>
      <xdr:nvPicPr>
        <xdr:cNvPr id="34" name="Picture 33" descr="LIF_TO.png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47775" y="1219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660</xdr:row>
      <xdr:rowOff>0</xdr:rowOff>
    </xdr:from>
    <xdr:to>
      <xdr:col>6</xdr:col>
      <xdr:colOff>463303</xdr:colOff>
      <xdr:row>673</xdr:row>
      <xdr:rowOff>156977</xdr:rowOff>
    </xdr:to>
    <xdr:pic>
      <xdr:nvPicPr>
        <xdr:cNvPr id="35" name="Picture 34" descr="HBAN.png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47775" y="1257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680</xdr:row>
      <xdr:rowOff>0</xdr:rowOff>
    </xdr:from>
    <xdr:to>
      <xdr:col>6</xdr:col>
      <xdr:colOff>463303</xdr:colOff>
      <xdr:row>693</xdr:row>
      <xdr:rowOff>156977</xdr:rowOff>
    </xdr:to>
    <xdr:pic>
      <xdr:nvPicPr>
        <xdr:cNvPr id="36" name="Picture 35" descr="PH.png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47775" y="1295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700</xdr:row>
      <xdr:rowOff>0</xdr:rowOff>
    </xdr:from>
    <xdr:to>
      <xdr:col>6</xdr:col>
      <xdr:colOff>463303</xdr:colOff>
      <xdr:row>713</xdr:row>
      <xdr:rowOff>156977</xdr:rowOff>
    </xdr:to>
    <xdr:pic>
      <xdr:nvPicPr>
        <xdr:cNvPr id="37" name="Picture 36" descr="FITB.png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47775" y="1333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720</xdr:row>
      <xdr:rowOff>0</xdr:rowOff>
    </xdr:from>
    <xdr:to>
      <xdr:col>6</xdr:col>
      <xdr:colOff>463303</xdr:colOff>
      <xdr:row>733</xdr:row>
      <xdr:rowOff>156977</xdr:rowOff>
    </xdr:to>
    <xdr:pic>
      <xdr:nvPicPr>
        <xdr:cNvPr id="38" name="Picture 37" descr="DVN.png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47775" y="1371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740</xdr:row>
      <xdr:rowOff>0</xdr:rowOff>
    </xdr:from>
    <xdr:to>
      <xdr:col>6</xdr:col>
      <xdr:colOff>463303</xdr:colOff>
      <xdr:row>753</xdr:row>
      <xdr:rowOff>156977</xdr:rowOff>
    </xdr:to>
    <xdr:pic>
      <xdr:nvPicPr>
        <xdr:cNvPr id="39" name="Picture 38" descr="REI-UN_TO.png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47775" y="1409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760</xdr:row>
      <xdr:rowOff>0</xdr:rowOff>
    </xdr:from>
    <xdr:to>
      <xdr:col>6</xdr:col>
      <xdr:colOff>463303</xdr:colOff>
      <xdr:row>773</xdr:row>
      <xdr:rowOff>156977</xdr:rowOff>
    </xdr:to>
    <xdr:pic>
      <xdr:nvPicPr>
        <xdr:cNvPr id="40" name="Picture 39" descr="NTAP.png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47775" y="1447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780</xdr:row>
      <xdr:rowOff>0</xdr:rowOff>
    </xdr:from>
    <xdr:to>
      <xdr:col>6</xdr:col>
      <xdr:colOff>463303</xdr:colOff>
      <xdr:row>793</xdr:row>
      <xdr:rowOff>156977</xdr:rowOff>
    </xdr:to>
    <xdr:pic>
      <xdr:nvPicPr>
        <xdr:cNvPr id="41" name="Picture 40" descr="ENB_TO.png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47775" y="1485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800</xdr:row>
      <xdr:rowOff>0</xdr:rowOff>
    </xdr:from>
    <xdr:to>
      <xdr:col>6</xdr:col>
      <xdr:colOff>463303</xdr:colOff>
      <xdr:row>813</xdr:row>
      <xdr:rowOff>156977</xdr:rowOff>
    </xdr:to>
    <xdr:pic>
      <xdr:nvPicPr>
        <xdr:cNvPr id="42" name="Picture 41" descr="URI.png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47775" y="1524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820</xdr:row>
      <xdr:rowOff>0</xdr:rowOff>
    </xdr:from>
    <xdr:to>
      <xdr:col>6</xdr:col>
      <xdr:colOff>463303</xdr:colOff>
      <xdr:row>833</xdr:row>
      <xdr:rowOff>156977</xdr:rowOff>
    </xdr:to>
    <xdr:pic>
      <xdr:nvPicPr>
        <xdr:cNvPr id="43" name="Picture 42" descr="VZ.png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47775" y="1562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840</xdr:row>
      <xdr:rowOff>0</xdr:rowOff>
    </xdr:from>
    <xdr:to>
      <xdr:col>6</xdr:col>
      <xdr:colOff>463303</xdr:colOff>
      <xdr:row>853</xdr:row>
      <xdr:rowOff>156977</xdr:rowOff>
    </xdr:to>
    <xdr:pic>
      <xdr:nvPicPr>
        <xdr:cNvPr id="44" name="Picture 43" descr="T.png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47775" y="1600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860</xdr:row>
      <xdr:rowOff>0</xdr:rowOff>
    </xdr:from>
    <xdr:to>
      <xdr:col>6</xdr:col>
      <xdr:colOff>463303</xdr:colOff>
      <xdr:row>873</xdr:row>
      <xdr:rowOff>156977</xdr:rowOff>
    </xdr:to>
    <xdr:pic>
      <xdr:nvPicPr>
        <xdr:cNvPr id="45" name="Picture 44" descr="HCA.png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47775" y="1638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880</xdr:row>
      <xdr:rowOff>0</xdr:rowOff>
    </xdr:from>
    <xdr:to>
      <xdr:col>6</xdr:col>
      <xdr:colOff>463303</xdr:colOff>
      <xdr:row>893</xdr:row>
      <xdr:rowOff>156977</xdr:rowOff>
    </xdr:to>
    <xdr:pic>
      <xdr:nvPicPr>
        <xdr:cNvPr id="46" name="Picture 45" descr="NGD_TO.png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47775" y="1676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900</xdr:row>
      <xdr:rowOff>0</xdr:rowOff>
    </xdr:from>
    <xdr:to>
      <xdr:col>6</xdr:col>
      <xdr:colOff>463303</xdr:colOff>
      <xdr:row>913</xdr:row>
      <xdr:rowOff>156977</xdr:rowOff>
    </xdr:to>
    <xdr:pic>
      <xdr:nvPicPr>
        <xdr:cNvPr id="47" name="Picture 46" descr="JNJ.png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47775" y="1714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920</xdr:row>
      <xdr:rowOff>0</xdr:rowOff>
    </xdr:from>
    <xdr:to>
      <xdr:col>6</xdr:col>
      <xdr:colOff>463303</xdr:colOff>
      <xdr:row>933</xdr:row>
      <xdr:rowOff>156977</xdr:rowOff>
    </xdr:to>
    <xdr:pic>
      <xdr:nvPicPr>
        <xdr:cNvPr id="48" name="Picture 47" descr="FTS_TO.png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47775" y="1752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940</xdr:row>
      <xdr:rowOff>0</xdr:rowOff>
    </xdr:from>
    <xdr:to>
      <xdr:col>6</xdr:col>
      <xdr:colOff>463303</xdr:colOff>
      <xdr:row>953</xdr:row>
      <xdr:rowOff>156977</xdr:rowOff>
    </xdr:to>
    <xdr:pic>
      <xdr:nvPicPr>
        <xdr:cNvPr id="49" name="Picture 48" descr="DHR.png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47775" y="1790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960</xdr:row>
      <xdr:rowOff>0</xdr:rowOff>
    </xdr:from>
    <xdr:to>
      <xdr:col>6</xdr:col>
      <xdr:colOff>463303</xdr:colOff>
      <xdr:row>973</xdr:row>
      <xdr:rowOff>156977</xdr:rowOff>
    </xdr:to>
    <xdr:pic>
      <xdr:nvPicPr>
        <xdr:cNvPr id="50" name="Picture 49" descr="HAS.png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47775" y="1828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980</xdr:row>
      <xdr:rowOff>0</xdr:rowOff>
    </xdr:from>
    <xdr:to>
      <xdr:col>6</xdr:col>
      <xdr:colOff>463303</xdr:colOff>
      <xdr:row>993</xdr:row>
      <xdr:rowOff>156977</xdr:rowOff>
    </xdr:to>
    <xdr:pic>
      <xdr:nvPicPr>
        <xdr:cNvPr id="51" name="Picture 50" descr="BCE_TO.png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47775" y="1866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1000</xdr:row>
      <xdr:rowOff>0</xdr:rowOff>
    </xdr:from>
    <xdr:to>
      <xdr:col>6</xdr:col>
      <xdr:colOff>463303</xdr:colOff>
      <xdr:row>1013</xdr:row>
      <xdr:rowOff>156977</xdr:rowOff>
    </xdr:to>
    <xdr:pic>
      <xdr:nvPicPr>
        <xdr:cNvPr id="52" name="Picture 51" descr="EQX_TO.png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247775" y="1905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1020</xdr:row>
      <xdr:rowOff>0</xdr:rowOff>
    </xdr:from>
    <xdr:to>
      <xdr:col>6</xdr:col>
      <xdr:colOff>463303</xdr:colOff>
      <xdr:row>1033</xdr:row>
      <xdr:rowOff>156977</xdr:rowOff>
    </xdr:to>
    <xdr:pic>
      <xdr:nvPicPr>
        <xdr:cNvPr id="53" name="Picture 52" descr="FRT.png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47775" y="1943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1040</xdr:row>
      <xdr:rowOff>0</xdr:rowOff>
    </xdr:from>
    <xdr:to>
      <xdr:col>6</xdr:col>
      <xdr:colOff>463303</xdr:colOff>
      <xdr:row>1053</xdr:row>
      <xdr:rowOff>156977</xdr:rowOff>
    </xdr:to>
    <xdr:pic>
      <xdr:nvPicPr>
        <xdr:cNvPr id="54" name="Picture 53" descr="AXP.png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47775" y="1981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1060</xdr:row>
      <xdr:rowOff>0</xdr:rowOff>
    </xdr:from>
    <xdr:to>
      <xdr:col>6</xdr:col>
      <xdr:colOff>463303</xdr:colOff>
      <xdr:row>1073</xdr:row>
      <xdr:rowOff>156977</xdr:rowOff>
    </xdr:to>
    <xdr:pic>
      <xdr:nvPicPr>
        <xdr:cNvPr id="55" name="Picture 54" descr="COR.png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247775" y="2019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1080</xdr:row>
      <xdr:rowOff>0</xdr:rowOff>
    </xdr:from>
    <xdr:to>
      <xdr:col>6</xdr:col>
      <xdr:colOff>463303</xdr:colOff>
      <xdr:row>1093</xdr:row>
      <xdr:rowOff>156977</xdr:rowOff>
    </xdr:to>
    <xdr:pic>
      <xdr:nvPicPr>
        <xdr:cNvPr id="56" name="Picture 55" descr="PNR.png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47775" y="2057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1100</xdr:row>
      <xdr:rowOff>0</xdr:rowOff>
    </xdr:from>
    <xdr:to>
      <xdr:col>6</xdr:col>
      <xdr:colOff>463303</xdr:colOff>
      <xdr:row>1113</xdr:row>
      <xdr:rowOff>156977</xdr:rowOff>
    </xdr:to>
    <xdr:pic>
      <xdr:nvPicPr>
        <xdr:cNvPr id="57" name="Picture 56" descr="PPG.png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247775" y="2095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1120</xdr:row>
      <xdr:rowOff>0</xdr:rowOff>
    </xdr:from>
    <xdr:to>
      <xdr:col>6</xdr:col>
      <xdr:colOff>463303</xdr:colOff>
      <xdr:row>1133</xdr:row>
      <xdr:rowOff>156977</xdr:rowOff>
    </xdr:to>
    <xdr:pic>
      <xdr:nvPicPr>
        <xdr:cNvPr id="58" name="Picture 57" descr="YUM.png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47775" y="2133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1140</xdr:row>
      <xdr:rowOff>0</xdr:rowOff>
    </xdr:from>
    <xdr:to>
      <xdr:col>6</xdr:col>
      <xdr:colOff>463303</xdr:colOff>
      <xdr:row>1153</xdr:row>
      <xdr:rowOff>156977</xdr:rowOff>
    </xdr:to>
    <xdr:pic>
      <xdr:nvPicPr>
        <xdr:cNvPr id="59" name="Picture 58" descr="GRMN.png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47775" y="2171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1160</xdr:row>
      <xdr:rowOff>0</xdr:rowOff>
    </xdr:from>
    <xdr:to>
      <xdr:col>6</xdr:col>
      <xdr:colOff>463303</xdr:colOff>
      <xdr:row>1173</xdr:row>
      <xdr:rowOff>156977</xdr:rowOff>
    </xdr:to>
    <xdr:pic>
      <xdr:nvPicPr>
        <xdr:cNvPr id="60" name="Picture 59" descr="PFE.png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47775" y="2209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1180</xdr:row>
      <xdr:rowOff>0</xdr:rowOff>
    </xdr:from>
    <xdr:to>
      <xdr:col>6</xdr:col>
      <xdr:colOff>463303</xdr:colOff>
      <xdr:row>1193</xdr:row>
      <xdr:rowOff>156977</xdr:rowOff>
    </xdr:to>
    <xdr:pic>
      <xdr:nvPicPr>
        <xdr:cNvPr id="61" name="Picture 60" descr="QCOM.png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247775" y="2247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1200</xdr:row>
      <xdr:rowOff>0</xdr:rowOff>
    </xdr:from>
    <xdr:to>
      <xdr:col>6</xdr:col>
      <xdr:colOff>463303</xdr:colOff>
      <xdr:row>1213</xdr:row>
      <xdr:rowOff>156977</xdr:rowOff>
    </xdr:to>
    <xdr:pic>
      <xdr:nvPicPr>
        <xdr:cNvPr id="62" name="Picture 61" descr="POOL.png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47775" y="2286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1220</xdr:row>
      <xdr:rowOff>0</xdr:rowOff>
    </xdr:from>
    <xdr:to>
      <xdr:col>6</xdr:col>
      <xdr:colOff>463303</xdr:colOff>
      <xdr:row>1233</xdr:row>
      <xdr:rowOff>156977</xdr:rowOff>
    </xdr:to>
    <xdr:pic>
      <xdr:nvPicPr>
        <xdr:cNvPr id="63" name="Picture 62" descr="SWK.png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47775" y="2324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1240</xdr:row>
      <xdr:rowOff>0</xdr:rowOff>
    </xdr:from>
    <xdr:to>
      <xdr:col>6</xdr:col>
      <xdr:colOff>463303</xdr:colOff>
      <xdr:row>1253</xdr:row>
      <xdr:rowOff>156977</xdr:rowOff>
    </xdr:to>
    <xdr:pic>
      <xdr:nvPicPr>
        <xdr:cNvPr id="64" name="Picture 63" descr="FOXA.png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47775" y="2362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1260</xdr:row>
      <xdr:rowOff>0</xdr:rowOff>
    </xdr:from>
    <xdr:to>
      <xdr:col>6</xdr:col>
      <xdr:colOff>463303</xdr:colOff>
      <xdr:row>1273</xdr:row>
      <xdr:rowOff>156977</xdr:rowOff>
    </xdr:to>
    <xdr:pic>
      <xdr:nvPicPr>
        <xdr:cNvPr id="65" name="Picture 64" descr="IAG_TO.png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47775" y="2400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1280</xdr:row>
      <xdr:rowOff>0</xdr:rowOff>
    </xdr:from>
    <xdr:to>
      <xdr:col>6</xdr:col>
      <xdr:colOff>463303</xdr:colOff>
      <xdr:row>1293</xdr:row>
      <xdr:rowOff>156977</xdr:rowOff>
    </xdr:to>
    <xdr:pic>
      <xdr:nvPicPr>
        <xdr:cNvPr id="66" name="Picture 65" descr="SWKS.png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47775" y="2438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1300</xdr:row>
      <xdr:rowOff>0</xdr:rowOff>
    </xdr:from>
    <xdr:to>
      <xdr:col>6</xdr:col>
      <xdr:colOff>463303</xdr:colOff>
      <xdr:row>1313</xdr:row>
      <xdr:rowOff>156977</xdr:rowOff>
    </xdr:to>
    <xdr:pic>
      <xdr:nvPicPr>
        <xdr:cNvPr id="67" name="Picture 66" descr="MDT.png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47775" y="2476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1320</xdr:row>
      <xdr:rowOff>0</xdr:rowOff>
    </xdr:from>
    <xdr:to>
      <xdr:col>6</xdr:col>
      <xdr:colOff>463303</xdr:colOff>
      <xdr:row>1333</xdr:row>
      <xdr:rowOff>156977</xdr:rowOff>
    </xdr:to>
    <xdr:pic>
      <xdr:nvPicPr>
        <xdr:cNvPr id="68" name="Picture 67" descr="CEU_TO.png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47775" y="2514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1340</xdr:row>
      <xdr:rowOff>0</xdr:rowOff>
    </xdr:from>
    <xdr:to>
      <xdr:col>6</xdr:col>
      <xdr:colOff>463303</xdr:colOff>
      <xdr:row>1353</xdr:row>
      <xdr:rowOff>156977</xdr:rowOff>
    </xdr:to>
    <xdr:pic>
      <xdr:nvPicPr>
        <xdr:cNvPr id="69" name="Picture 68" descr="NVR.png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47775" y="2552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1360</xdr:row>
      <xdr:rowOff>0</xdr:rowOff>
    </xdr:from>
    <xdr:to>
      <xdr:col>6</xdr:col>
      <xdr:colOff>463303</xdr:colOff>
      <xdr:row>1373</xdr:row>
      <xdr:rowOff>156977</xdr:rowOff>
    </xdr:to>
    <xdr:pic>
      <xdr:nvPicPr>
        <xdr:cNvPr id="70" name="Picture 69" descr="HBM_TO.png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47775" y="2590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1380</xdr:row>
      <xdr:rowOff>0</xdr:rowOff>
    </xdr:from>
    <xdr:to>
      <xdr:col>6</xdr:col>
      <xdr:colOff>463303</xdr:colOff>
      <xdr:row>1393</xdr:row>
      <xdr:rowOff>156977</xdr:rowOff>
    </xdr:to>
    <xdr:pic>
      <xdr:nvPicPr>
        <xdr:cNvPr id="71" name="Picture 70" descr="DPM_TO.png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47775" y="2628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1400</xdr:row>
      <xdr:rowOff>0</xdr:rowOff>
    </xdr:from>
    <xdr:to>
      <xdr:col>6</xdr:col>
      <xdr:colOff>463303</xdr:colOff>
      <xdr:row>1413</xdr:row>
      <xdr:rowOff>156977</xdr:rowOff>
    </xdr:to>
    <xdr:pic>
      <xdr:nvPicPr>
        <xdr:cNvPr id="72" name="Picture 71" descr="MG_TO.png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47775" y="2667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1420</xdr:row>
      <xdr:rowOff>0</xdr:rowOff>
    </xdr:from>
    <xdr:to>
      <xdr:col>6</xdr:col>
      <xdr:colOff>463303</xdr:colOff>
      <xdr:row>1433</xdr:row>
      <xdr:rowOff>156977</xdr:rowOff>
    </xdr:to>
    <xdr:pic>
      <xdr:nvPicPr>
        <xdr:cNvPr id="73" name="Picture 72" descr="CM_TO.png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47775" y="2705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1440</xdr:row>
      <xdr:rowOff>0</xdr:rowOff>
    </xdr:from>
    <xdr:to>
      <xdr:col>6</xdr:col>
      <xdr:colOff>463303</xdr:colOff>
      <xdr:row>1453</xdr:row>
      <xdr:rowOff>156977</xdr:rowOff>
    </xdr:to>
    <xdr:pic>
      <xdr:nvPicPr>
        <xdr:cNvPr id="74" name="Picture 73" descr="SSRM_TO.png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247775" y="2743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1460</xdr:row>
      <xdr:rowOff>0</xdr:rowOff>
    </xdr:from>
    <xdr:to>
      <xdr:col>6</xdr:col>
      <xdr:colOff>463303</xdr:colOff>
      <xdr:row>1473</xdr:row>
      <xdr:rowOff>156977</xdr:rowOff>
    </xdr:to>
    <xdr:pic>
      <xdr:nvPicPr>
        <xdr:cNvPr id="75" name="Picture 74" descr="INCY.png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247775" y="2781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1480</xdr:row>
      <xdr:rowOff>0</xdr:rowOff>
    </xdr:from>
    <xdr:to>
      <xdr:col>6</xdr:col>
      <xdr:colOff>463303</xdr:colOff>
      <xdr:row>1493</xdr:row>
      <xdr:rowOff>156977</xdr:rowOff>
    </xdr:to>
    <xdr:pic>
      <xdr:nvPicPr>
        <xdr:cNvPr id="76" name="Picture 75" descr="COO.png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247775" y="2819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1500</xdr:row>
      <xdr:rowOff>0</xdr:rowOff>
    </xdr:from>
    <xdr:to>
      <xdr:col>6</xdr:col>
      <xdr:colOff>463303</xdr:colOff>
      <xdr:row>1513</xdr:row>
      <xdr:rowOff>156977</xdr:rowOff>
    </xdr:to>
    <xdr:pic>
      <xdr:nvPicPr>
        <xdr:cNvPr id="77" name="Picture 76" descr="CHTR.png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247775" y="2857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1520</xdr:row>
      <xdr:rowOff>0</xdr:rowOff>
    </xdr:from>
    <xdr:to>
      <xdr:col>6</xdr:col>
      <xdr:colOff>463303</xdr:colOff>
      <xdr:row>1533</xdr:row>
      <xdr:rowOff>156977</xdr:rowOff>
    </xdr:to>
    <xdr:pic>
      <xdr:nvPicPr>
        <xdr:cNvPr id="78" name="Picture 77" descr="EOG.png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247775" y="2895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1540</xdr:row>
      <xdr:rowOff>0</xdr:rowOff>
    </xdr:from>
    <xdr:to>
      <xdr:col>6</xdr:col>
      <xdr:colOff>463303</xdr:colOff>
      <xdr:row>1553</xdr:row>
      <xdr:rowOff>156977</xdr:rowOff>
    </xdr:to>
    <xdr:pic>
      <xdr:nvPicPr>
        <xdr:cNvPr id="79" name="Picture 78" descr="ITW.png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247775" y="2933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1560</xdr:row>
      <xdr:rowOff>0</xdr:rowOff>
    </xdr:from>
    <xdr:to>
      <xdr:col>6</xdr:col>
      <xdr:colOff>463303</xdr:colOff>
      <xdr:row>1573</xdr:row>
      <xdr:rowOff>156977</xdr:rowOff>
    </xdr:to>
    <xdr:pic>
      <xdr:nvPicPr>
        <xdr:cNvPr id="80" name="Picture 79" descr="RCH_TO.png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247775" y="2971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1580</xdr:row>
      <xdr:rowOff>0</xdr:rowOff>
    </xdr:from>
    <xdr:to>
      <xdr:col>6</xdr:col>
      <xdr:colOff>463303</xdr:colOff>
      <xdr:row>1593</xdr:row>
      <xdr:rowOff>156977</xdr:rowOff>
    </xdr:to>
    <xdr:pic>
      <xdr:nvPicPr>
        <xdr:cNvPr id="81" name="Picture 80" descr="TFC.png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247775" y="3009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1600</xdr:row>
      <xdr:rowOff>0</xdr:rowOff>
    </xdr:from>
    <xdr:to>
      <xdr:col>6</xdr:col>
      <xdr:colOff>463303</xdr:colOff>
      <xdr:row>1613</xdr:row>
      <xdr:rowOff>156977</xdr:rowOff>
    </xdr:to>
    <xdr:pic>
      <xdr:nvPicPr>
        <xdr:cNvPr id="82" name="Picture 81" descr="COP.png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247775" y="3048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1620</xdr:row>
      <xdr:rowOff>0</xdr:rowOff>
    </xdr:from>
    <xdr:to>
      <xdr:col>6</xdr:col>
      <xdr:colOff>463303</xdr:colOff>
      <xdr:row>1633</xdr:row>
      <xdr:rowOff>156977</xdr:rowOff>
    </xdr:to>
    <xdr:pic>
      <xdr:nvPicPr>
        <xdr:cNvPr id="83" name="Picture 82" descr="A.png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247775" y="3086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1640</xdr:row>
      <xdr:rowOff>0</xdr:rowOff>
    </xdr:from>
    <xdr:to>
      <xdr:col>6</xdr:col>
      <xdr:colOff>463303</xdr:colOff>
      <xdr:row>1653</xdr:row>
      <xdr:rowOff>156977</xdr:rowOff>
    </xdr:to>
    <xdr:pic>
      <xdr:nvPicPr>
        <xdr:cNvPr id="84" name="Picture 83" descr="MS.png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47775" y="3124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1660</xdr:row>
      <xdr:rowOff>0</xdr:rowOff>
    </xdr:from>
    <xdr:to>
      <xdr:col>6</xdr:col>
      <xdr:colOff>463303</xdr:colOff>
      <xdr:row>1673</xdr:row>
      <xdr:rowOff>156977</xdr:rowOff>
    </xdr:to>
    <xdr:pic>
      <xdr:nvPicPr>
        <xdr:cNvPr id="85" name="Picture 84" descr="IVN_TO.png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247775" y="3162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1680</xdr:row>
      <xdr:rowOff>0</xdr:rowOff>
    </xdr:from>
    <xdr:to>
      <xdr:col>6</xdr:col>
      <xdr:colOff>463303</xdr:colOff>
      <xdr:row>1693</xdr:row>
      <xdr:rowOff>156977</xdr:rowOff>
    </xdr:to>
    <xdr:pic>
      <xdr:nvPicPr>
        <xdr:cNvPr id="86" name="Picture 85" descr="BLDR.png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247775" y="3200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1700</xdr:row>
      <xdr:rowOff>0</xdr:rowOff>
    </xdr:from>
    <xdr:to>
      <xdr:col>6</xdr:col>
      <xdr:colOff>463303</xdr:colOff>
      <xdr:row>1713</xdr:row>
      <xdr:rowOff>156977</xdr:rowOff>
    </xdr:to>
    <xdr:pic>
      <xdr:nvPicPr>
        <xdr:cNvPr id="87" name="Picture 86" descr="SYF.png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247775" y="3238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1720</xdr:row>
      <xdr:rowOff>0</xdr:rowOff>
    </xdr:from>
    <xdr:to>
      <xdr:col>6</xdr:col>
      <xdr:colOff>463303</xdr:colOff>
      <xdr:row>1733</xdr:row>
      <xdr:rowOff>156977</xdr:rowOff>
    </xdr:to>
    <xdr:pic>
      <xdr:nvPicPr>
        <xdr:cNvPr id="88" name="Picture 87" descr="GS.png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247775" y="3276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1740</xdr:row>
      <xdr:rowOff>0</xdr:rowOff>
    </xdr:from>
    <xdr:to>
      <xdr:col>6</xdr:col>
      <xdr:colOff>463303</xdr:colOff>
      <xdr:row>1753</xdr:row>
      <xdr:rowOff>156977</xdr:rowOff>
    </xdr:to>
    <xdr:pic>
      <xdr:nvPicPr>
        <xdr:cNvPr id="89" name="Picture 88" descr="TROW.png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247775" y="3314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1760</xdr:row>
      <xdr:rowOff>0</xdr:rowOff>
    </xdr:from>
    <xdr:to>
      <xdr:col>6</xdr:col>
      <xdr:colOff>463303</xdr:colOff>
      <xdr:row>1773</xdr:row>
      <xdr:rowOff>156977</xdr:rowOff>
    </xdr:to>
    <xdr:pic>
      <xdr:nvPicPr>
        <xdr:cNvPr id="90" name="Picture 89" descr="BLK.png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247775" y="3352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1780</xdr:row>
      <xdr:rowOff>0</xdr:rowOff>
    </xdr:from>
    <xdr:to>
      <xdr:col>6</xdr:col>
      <xdr:colOff>463303</xdr:colOff>
      <xdr:row>1793</xdr:row>
      <xdr:rowOff>156977</xdr:rowOff>
    </xdr:to>
    <xdr:pic>
      <xdr:nvPicPr>
        <xdr:cNvPr id="91" name="Picture 90" descr="AOS.png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247775" y="3390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1800</xdr:row>
      <xdr:rowOff>0</xdr:rowOff>
    </xdr:from>
    <xdr:to>
      <xdr:col>6</xdr:col>
      <xdr:colOff>463303</xdr:colOff>
      <xdr:row>1813</xdr:row>
      <xdr:rowOff>156977</xdr:rowOff>
    </xdr:to>
    <xdr:pic>
      <xdr:nvPicPr>
        <xdr:cNvPr id="92" name="Picture 91" descr="BMY.png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247775" y="3429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1820</xdr:row>
      <xdr:rowOff>0</xdr:rowOff>
    </xdr:from>
    <xdr:to>
      <xdr:col>6</xdr:col>
      <xdr:colOff>463303</xdr:colOff>
      <xdr:row>1833</xdr:row>
      <xdr:rowOff>156977</xdr:rowOff>
    </xdr:to>
    <xdr:pic>
      <xdr:nvPicPr>
        <xdr:cNvPr id="93" name="Picture 92" descr="TD_TO.png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247775" y="3467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1840</xdr:row>
      <xdr:rowOff>0</xdr:rowOff>
    </xdr:from>
    <xdr:to>
      <xdr:col>6</xdr:col>
      <xdr:colOff>463303</xdr:colOff>
      <xdr:row>1853</xdr:row>
      <xdr:rowOff>156977</xdr:rowOff>
    </xdr:to>
    <xdr:pic>
      <xdr:nvPicPr>
        <xdr:cNvPr id="94" name="Picture 93" descr="OMC.png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47775" y="3505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1860</xdr:row>
      <xdr:rowOff>0</xdr:rowOff>
    </xdr:from>
    <xdr:to>
      <xdr:col>6</xdr:col>
      <xdr:colOff>463303</xdr:colOff>
      <xdr:row>1873</xdr:row>
      <xdr:rowOff>156977</xdr:rowOff>
    </xdr:to>
    <xdr:pic>
      <xdr:nvPicPr>
        <xdr:cNvPr id="95" name="Picture 94" descr="FOX.png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47775" y="3543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1880</xdr:row>
      <xdr:rowOff>0</xdr:rowOff>
    </xdr:from>
    <xdr:to>
      <xdr:col>6</xdr:col>
      <xdr:colOff>463303</xdr:colOff>
      <xdr:row>1893</xdr:row>
      <xdr:rowOff>156977</xdr:rowOff>
    </xdr:to>
    <xdr:pic>
      <xdr:nvPicPr>
        <xdr:cNvPr id="96" name="Picture 95" descr="MRK.png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47775" y="3581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1900</xdr:row>
      <xdr:rowOff>0</xdr:rowOff>
    </xdr:from>
    <xdr:to>
      <xdr:col>6</xdr:col>
      <xdr:colOff>463303</xdr:colOff>
      <xdr:row>1913</xdr:row>
      <xdr:rowOff>156977</xdr:rowOff>
    </xdr:to>
    <xdr:pic>
      <xdr:nvPicPr>
        <xdr:cNvPr id="97" name="Picture 96" descr="IPG.png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247775" y="3619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1920</xdr:row>
      <xdr:rowOff>0</xdr:rowOff>
    </xdr:from>
    <xdr:to>
      <xdr:col>6</xdr:col>
      <xdr:colOff>463303</xdr:colOff>
      <xdr:row>1933</xdr:row>
      <xdr:rowOff>156977</xdr:rowOff>
    </xdr:to>
    <xdr:pic>
      <xdr:nvPicPr>
        <xdr:cNvPr id="98" name="Picture 97" descr="NUE.png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247775" y="3657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1940</xdr:row>
      <xdr:rowOff>0</xdr:rowOff>
    </xdr:from>
    <xdr:to>
      <xdr:col>6</xdr:col>
      <xdr:colOff>463303</xdr:colOff>
      <xdr:row>1953</xdr:row>
      <xdr:rowOff>156977</xdr:rowOff>
    </xdr:to>
    <xdr:pic>
      <xdr:nvPicPr>
        <xdr:cNvPr id="99" name="Picture 98" descr="LIN.png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247775" y="3695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1960</xdr:row>
      <xdr:rowOff>0</xdr:rowOff>
    </xdr:from>
    <xdr:to>
      <xdr:col>6</xdr:col>
      <xdr:colOff>463303</xdr:colOff>
      <xdr:row>1973</xdr:row>
      <xdr:rowOff>156977</xdr:rowOff>
    </xdr:to>
    <xdr:pic>
      <xdr:nvPicPr>
        <xdr:cNvPr id="100" name="Picture 99" descr="FCR-UN_TO.png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247775" y="3733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1980</xdr:row>
      <xdr:rowOff>0</xdr:rowOff>
    </xdr:from>
    <xdr:to>
      <xdr:col>6</xdr:col>
      <xdr:colOff>463303</xdr:colOff>
      <xdr:row>1993</xdr:row>
      <xdr:rowOff>156977</xdr:rowOff>
    </xdr:to>
    <xdr:pic>
      <xdr:nvPicPr>
        <xdr:cNvPr id="101" name="Picture 100" descr="CRT-UN_TO.png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247775" y="3771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2000</xdr:row>
      <xdr:rowOff>0</xdr:rowOff>
    </xdr:from>
    <xdr:to>
      <xdr:col>6</xdr:col>
      <xdr:colOff>463303</xdr:colOff>
      <xdr:row>2013</xdr:row>
      <xdr:rowOff>156977</xdr:rowOff>
    </xdr:to>
    <xdr:pic>
      <xdr:nvPicPr>
        <xdr:cNvPr id="102" name="Picture 101" descr="MHK.png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247775" y="3810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2020</xdr:row>
      <xdr:rowOff>0</xdr:rowOff>
    </xdr:from>
    <xdr:to>
      <xdr:col>6</xdr:col>
      <xdr:colOff>463303</xdr:colOff>
      <xdr:row>2033</xdr:row>
      <xdr:rowOff>156977</xdr:rowOff>
    </xdr:to>
    <xdr:pic>
      <xdr:nvPicPr>
        <xdr:cNvPr id="103" name="Picture 102" descr="TMUS.png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47775" y="3848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2040</xdr:row>
      <xdr:rowOff>0</xdr:rowOff>
    </xdr:from>
    <xdr:to>
      <xdr:col>6</xdr:col>
      <xdr:colOff>463303</xdr:colOff>
      <xdr:row>2053</xdr:row>
      <xdr:rowOff>156977</xdr:rowOff>
    </xdr:to>
    <xdr:pic>
      <xdr:nvPicPr>
        <xdr:cNvPr id="104" name="Picture 103" descr="CBRE.png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47775" y="3886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2060</xdr:row>
      <xdr:rowOff>0</xdr:rowOff>
    </xdr:from>
    <xdr:to>
      <xdr:col>6</xdr:col>
      <xdr:colOff>463303</xdr:colOff>
      <xdr:row>2073</xdr:row>
      <xdr:rowOff>156977</xdr:rowOff>
    </xdr:to>
    <xdr:pic>
      <xdr:nvPicPr>
        <xdr:cNvPr id="105" name="Picture 104" descr="SRU-UN_TO.png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247775" y="3924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2080</xdr:row>
      <xdr:rowOff>0</xdr:rowOff>
    </xdr:from>
    <xdr:to>
      <xdr:col>6</xdr:col>
      <xdr:colOff>463303</xdr:colOff>
      <xdr:row>2093</xdr:row>
      <xdr:rowOff>156977</xdr:rowOff>
    </xdr:to>
    <xdr:pic>
      <xdr:nvPicPr>
        <xdr:cNvPr id="106" name="Picture 105" descr="OGC_TO.png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247775" y="3962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2100</xdr:row>
      <xdr:rowOff>0</xdr:rowOff>
    </xdr:from>
    <xdr:to>
      <xdr:col>6</xdr:col>
      <xdr:colOff>463303</xdr:colOff>
      <xdr:row>2113</xdr:row>
      <xdr:rowOff>156977</xdr:rowOff>
    </xdr:to>
    <xdr:pic>
      <xdr:nvPicPr>
        <xdr:cNvPr id="107" name="Picture 106" descr="CFG.png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247775" y="4000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2120</xdr:row>
      <xdr:rowOff>0</xdr:rowOff>
    </xdr:from>
    <xdr:to>
      <xdr:col>6</xdr:col>
      <xdr:colOff>463303</xdr:colOff>
      <xdr:row>2133</xdr:row>
      <xdr:rowOff>156977</xdr:rowOff>
    </xdr:to>
    <xdr:pic>
      <xdr:nvPicPr>
        <xdr:cNvPr id="108" name="Picture 107" descr="BYD_TO.png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247775" y="4038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2140</xdr:row>
      <xdr:rowOff>0</xdr:rowOff>
    </xdr:from>
    <xdr:to>
      <xdr:col>6</xdr:col>
      <xdr:colOff>463303</xdr:colOff>
      <xdr:row>2153</xdr:row>
      <xdr:rowOff>156977</xdr:rowOff>
    </xdr:to>
    <xdr:pic>
      <xdr:nvPicPr>
        <xdr:cNvPr id="109" name="Picture 108" descr="FICO.png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247775" y="4076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2160</xdr:row>
      <xdr:rowOff>0</xdr:rowOff>
    </xdr:from>
    <xdr:to>
      <xdr:col>6</xdr:col>
      <xdr:colOff>463303</xdr:colOff>
      <xdr:row>2173</xdr:row>
      <xdr:rowOff>156977</xdr:rowOff>
    </xdr:to>
    <xdr:pic>
      <xdr:nvPicPr>
        <xdr:cNvPr id="110" name="Picture 109" descr="ADBE.png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247775" y="4114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2180</xdr:row>
      <xdr:rowOff>0</xdr:rowOff>
    </xdr:from>
    <xdr:to>
      <xdr:col>6</xdr:col>
      <xdr:colOff>463303</xdr:colOff>
      <xdr:row>2193</xdr:row>
      <xdr:rowOff>156977</xdr:rowOff>
    </xdr:to>
    <xdr:pic>
      <xdr:nvPicPr>
        <xdr:cNvPr id="111" name="Picture 110" descr="ADI.png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247775" y="4152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2200</xdr:row>
      <xdr:rowOff>0</xdr:rowOff>
    </xdr:from>
    <xdr:to>
      <xdr:col>6</xdr:col>
      <xdr:colOff>463303</xdr:colOff>
      <xdr:row>2213</xdr:row>
      <xdr:rowOff>156977</xdr:rowOff>
    </xdr:to>
    <xdr:pic>
      <xdr:nvPicPr>
        <xdr:cNvPr id="112" name="Picture 111" descr="SNA.png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247775" y="4191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2220</xdr:row>
      <xdr:rowOff>0</xdr:rowOff>
    </xdr:from>
    <xdr:to>
      <xdr:col>6</xdr:col>
      <xdr:colOff>463303</xdr:colOff>
      <xdr:row>2233</xdr:row>
      <xdr:rowOff>156977</xdr:rowOff>
    </xdr:to>
    <xdr:pic>
      <xdr:nvPicPr>
        <xdr:cNvPr id="113" name="Picture 112" descr="NWSA.png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247775" y="4229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2240</xdr:row>
      <xdr:rowOff>0</xdr:rowOff>
    </xdr:from>
    <xdr:to>
      <xdr:col>6</xdr:col>
      <xdr:colOff>463303</xdr:colOff>
      <xdr:row>2253</xdr:row>
      <xdr:rowOff>156977</xdr:rowOff>
    </xdr:to>
    <xdr:pic>
      <xdr:nvPicPr>
        <xdr:cNvPr id="114" name="Picture 113" descr="KNT_TO.png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247775" y="4267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2260</xdr:row>
      <xdr:rowOff>0</xdr:rowOff>
    </xdr:from>
    <xdr:to>
      <xdr:col>6</xdr:col>
      <xdr:colOff>463303</xdr:colOff>
      <xdr:row>2273</xdr:row>
      <xdr:rowOff>156977</xdr:rowOff>
    </xdr:to>
    <xdr:pic>
      <xdr:nvPicPr>
        <xdr:cNvPr id="115" name="Picture 114" descr="PRU.png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247775" y="4305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2280</xdr:row>
      <xdr:rowOff>0</xdr:rowOff>
    </xdr:from>
    <xdr:to>
      <xdr:col>6</xdr:col>
      <xdr:colOff>463303</xdr:colOff>
      <xdr:row>2293</xdr:row>
      <xdr:rowOff>156977</xdr:rowOff>
    </xdr:to>
    <xdr:pic>
      <xdr:nvPicPr>
        <xdr:cNvPr id="116" name="Picture 115" descr="F.png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247775" y="4343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2300</xdr:row>
      <xdr:rowOff>0</xdr:rowOff>
    </xdr:from>
    <xdr:to>
      <xdr:col>6</xdr:col>
      <xdr:colOff>463303</xdr:colOff>
      <xdr:row>2313</xdr:row>
      <xdr:rowOff>156977</xdr:rowOff>
    </xdr:to>
    <xdr:pic>
      <xdr:nvPicPr>
        <xdr:cNvPr id="117" name="Picture 116" descr="CVE_TO.png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247775" y="4381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2320</xdr:row>
      <xdr:rowOff>0</xdr:rowOff>
    </xdr:from>
    <xdr:to>
      <xdr:col>6</xdr:col>
      <xdr:colOff>463303</xdr:colOff>
      <xdr:row>2333</xdr:row>
      <xdr:rowOff>156977</xdr:rowOff>
    </xdr:to>
    <xdr:pic>
      <xdr:nvPicPr>
        <xdr:cNvPr id="118" name="Picture 117" descr="KEY_TO.png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247775" y="4419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2340</xdr:row>
      <xdr:rowOff>0</xdr:rowOff>
    </xdr:from>
    <xdr:to>
      <xdr:col>6</xdr:col>
      <xdr:colOff>463303</xdr:colOff>
      <xdr:row>2353</xdr:row>
      <xdr:rowOff>156977</xdr:rowOff>
    </xdr:to>
    <xdr:pic>
      <xdr:nvPicPr>
        <xdr:cNvPr id="119" name="Picture 118" descr="PCG.png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247775" y="4457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2360</xdr:row>
      <xdr:rowOff>0</xdr:rowOff>
    </xdr:from>
    <xdr:to>
      <xdr:col>6</xdr:col>
      <xdr:colOff>463303</xdr:colOff>
      <xdr:row>2373</xdr:row>
      <xdr:rowOff>156977</xdr:rowOff>
    </xdr:to>
    <xdr:pic>
      <xdr:nvPicPr>
        <xdr:cNvPr id="120" name="Picture 119" descr="NXPI.png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247775" y="4495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2380</xdr:row>
      <xdr:rowOff>0</xdr:rowOff>
    </xdr:from>
    <xdr:to>
      <xdr:col>6</xdr:col>
      <xdr:colOff>463303</xdr:colOff>
      <xdr:row>2393</xdr:row>
      <xdr:rowOff>156977</xdr:rowOff>
    </xdr:to>
    <xdr:pic>
      <xdr:nvPicPr>
        <xdr:cNvPr id="121" name="Picture 120" descr="AMZN.png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247775" y="4533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2400</xdr:row>
      <xdr:rowOff>0</xdr:rowOff>
    </xdr:from>
    <xdr:to>
      <xdr:col>6</xdr:col>
      <xdr:colOff>463303</xdr:colOff>
      <xdr:row>2413</xdr:row>
      <xdr:rowOff>156977</xdr:rowOff>
    </xdr:to>
    <xdr:pic>
      <xdr:nvPicPr>
        <xdr:cNvPr id="122" name="Picture 121" descr="GPN.png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247775" y="4572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2420</xdr:row>
      <xdr:rowOff>0</xdr:rowOff>
    </xdr:from>
    <xdr:to>
      <xdr:col>6</xdr:col>
      <xdr:colOff>463303</xdr:colOff>
      <xdr:row>2433</xdr:row>
      <xdr:rowOff>156977</xdr:rowOff>
    </xdr:to>
    <xdr:pic>
      <xdr:nvPicPr>
        <xdr:cNvPr id="123" name="Picture 122" descr="GEN.png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247775" y="4610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2440</xdr:row>
      <xdr:rowOff>0</xdr:rowOff>
    </xdr:from>
    <xdr:to>
      <xdr:col>6</xdr:col>
      <xdr:colOff>463303</xdr:colOff>
      <xdr:row>2453</xdr:row>
      <xdr:rowOff>156977</xdr:rowOff>
    </xdr:to>
    <xdr:pic>
      <xdr:nvPicPr>
        <xdr:cNvPr id="124" name="Picture 123" descr="CVX.png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247775" y="4648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2460</xdr:row>
      <xdr:rowOff>0</xdr:rowOff>
    </xdr:from>
    <xdr:to>
      <xdr:col>6</xdr:col>
      <xdr:colOff>463303</xdr:colOff>
      <xdr:row>2473</xdr:row>
      <xdr:rowOff>156977</xdr:rowOff>
    </xdr:to>
    <xdr:pic>
      <xdr:nvPicPr>
        <xdr:cNvPr id="125" name="Picture 124" descr="OTEX_TO.png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247775" y="4686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2480</xdr:row>
      <xdr:rowOff>0</xdr:rowOff>
    </xdr:from>
    <xdr:to>
      <xdr:col>6</xdr:col>
      <xdr:colOff>463303</xdr:colOff>
      <xdr:row>2493</xdr:row>
      <xdr:rowOff>156977</xdr:rowOff>
    </xdr:to>
    <xdr:pic>
      <xdr:nvPicPr>
        <xdr:cNvPr id="126" name="Picture 125" descr="MTD.png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247775" y="4724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2500</xdr:row>
      <xdr:rowOff>0</xdr:rowOff>
    </xdr:from>
    <xdr:to>
      <xdr:col>6</xdr:col>
      <xdr:colOff>463303</xdr:colOff>
      <xdr:row>2513</xdr:row>
      <xdr:rowOff>156977</xdr:rowOff>
    </xdr:to>
    <xdr:pic>
      <xdr:nvPicPr>
        <xdr:cNvPr id="127" name="Picture 126" descr="APTV.png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247775" y="4762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2520</xdr:row>
      <xdr:rowOff>0</xdr:rowOff>
    </xdr:from>
    <xdr:to>
      <xdr:col>6</xdr:col>
      <xdr:colOff>463303</xdr:colOff>
      <xdr:row>2533</xdr:row>
      <xdr:rowOff>156977</xdr:rowOff>
    </xdr:to>
    <xdr:pic>
      <xdr:nvPicPr>
        <xdr:cNvPr id="128" name="Picture 127" descr="MAG_TO.png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247775" y="4800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2540</xdr:row>
      <xdr:rowOff>0</xdr:rowOff>
    </xdr:from>
    <xdr:to>
      <xdr:col>6</xdr:col>
      <xdr:colOff>463303</xdr:colOff>
      <xdr:row>2553</xdr:row>
      <xdr:rowOff>156977</xdr:rowOff>
    </xdr:to>
    <xdr:pic>
      <xdr:nvPicPr>
        <xdr:cNvPr id="129" name="Picture 128" descr="GM.png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247775" y="4838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2560</xdr:row>
      <xdr:rowOff>0</xdr:rowOff>
    </xdr:from>
    <xdr:to>
      <xdr:col>6</xdr:col>
      <xdr:colOff>463303</xdr:colOff>
      <xdr:row>2573</xdr:row>
      <xdr:rowOff>156977</xdr:rowOff>
    </xdr:to>
    <xdr:pic>
      <xdr:nvPicPr>
        <xdr:cNvPr id="130" name="Picture 129" descr="CVS.png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247775" y="4876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2580</xdr:row>
      <xdr:rowOff>0</xdr:rowOff>
    </xdr:from>
    <xdr:to>
      <xdr:col>6</xdr:col>
      <xdr:colOff>463303</xdr:colOff>
      <xdr:row>2593</xdr:row>
      <xdr:rowOff>156977</xdr:rowOff>
    </xdr:to>
    <xdr:pic>
      <xdr:nvPicPr>
        <xdr:cNvPr id="131" name="Picture 130" descr="FAST.png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247775" y="4914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2600</xdr:row>
      <xdr:rowOff>0</xdr:rowOff>
    </xdr:from>
    <xdr:to>
      <xdr:col>6</xdr:col>
      <xdr:colOff>463303</xdr:colOff>
      <xdr:row>2613</xdr:row>
      <xdr:rowOff>156977</xdr:rowOff>
    </xdr:to>
    <xdr:pic>
      <xdr:nvPicPr>
        <xdr:cNvPr id="132" name="Picture 131" descr="EFN_TO.png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247775" y="4953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2620</xdr:row>
      <xdr:rowOff>0</xdr:rowOff>
    </xdr:from>
    <xdr:to>
      <xdr:col>6</xdr:col>
      <xdr:colOff>463303</xdr:colOff>
      <xdr:row>2633</xdr:row>
      <xdr:rowOff>156977</xdr:rowOff>
    </xdr:to>
    <xdr:pic>
      <xdr:nvPicPr>
        <xdr:cNvPr id="133" name="Picture 132" descr="LEN.png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247775" y="4991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2640</xdr:row>
      <xdr:rowOff>0</xdr:rowOff>
    </xdr:from>
    <xdr:to>
      <xdr:col>6</xdr:col>
      <xdr:colOff>463303</xdr:colOff>
      <xdr:row>2653</xdr:row>
      <xdr:rowOff>156977</xdr:rowOff>
    </xdr:to>
    <xdr:pic>
      <xdr:nvPicPr>
        <xdr:cNvPr id="134" name="Picture 133" descr="ACN.png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247775" y="5029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2660</xdr:row>
      <xdr:rowOff>0</xdr:rowOff>
    </xdr:from>
    <xdr:to>
      <xdr:col>6</xdr:col>
      <xdr:colOff>463303</xdr:colOff>
      <xdr:row>2673</xdr:row>
      <xdr:rowOff>156977</xdr:rowOff>
    </xdr:to>
    <xdr:pic>
      <xdr:nvPicPr>
        <xdr:cNvPr id="135" name="Picture 134" descr="FFIV.png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247775" y="5067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2680</xdr:row>
      <xdr:rowOff>0</xdr:rowOff>
    </xdr:from>
    <xdr:to>
      <xdr:col>6</xdr:col>
      <xdr:colOff>463303</xdr:colOff>
      <xdr:row>2693</xdr:row>
      <xdr:rowOff>156977</xdr:rowOff>
    </xdr:to>
    <xdr:pic>
      <xdr:nvPicPr>
        <xdr:cNvPr id="136" name="Picture 135" descr="ZTS.png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247775" y="5105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2700</xdr:row>
      <xdr:rowOff>0</xdr:rowOff>
    </xdr:from>
    <xdr:to>
      <xdr:col>6</xdr:col>
      <xdr:colOff>463303</xdr:colOff>
      <xdr:row>2713</xdr:row>
      <xdr:rowOff>156977</xdr:rowOff>
    </xdr:to>
    <xdr:pic>
      <xdr:nvPicPr>
        <xdr:cNvPr id="137" name="Picture 136" descr="PMZ-UN_TO.png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247775" y="5143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2720</xdr:row>
      <xdr:rowOff>0</xdr:rowOff>
    </xdr:from>
    <xdr:to>
      <xdr:col>6</xdr:col>
      <xdr:colOff>463303</xdr:colOff>
      <xdr:row>2733</xdr:row>
      <xdr:rowOff>156977</xdr:rowOff>
    </xdr:to>
    <xdr:pic>
      <xdr:nvPicPr>
        <xdr:cNvPr id="138" name="Picture 137" descr="GILD.png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247775" y="5181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2740</xdr:row>
      <xdr:rowOff>0</xdr:rowOff>
    </xdr:from>
    <xdr:to>
      <xdr:col>6</xdr:col>
      <xdr:colOff>463303</xdr:colOff>
      <xdr:row>2753</xdr:row>
      <xdr:rowOff>156977</xdr:rowOff>
    </xdr:to>
    <xdr:pic>
      <xdr:nvPicPr>
        <xdr:cNvPr id="139" name="Picture 138" descr="APA.png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247775" y="5219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2760</xdr:row>
      <xdr:rowOff>0</xdr:rowOff>
    </xdr:from>
    <xdr:to>
      <xdr:col>6</xdr:col>
      <xdr:colOff>463303</xdr:colOff>
      <xdr:row>2773</xdr:row>
      <xdr:rowOff>156977</xdr:rowOff>
    </xdr:to>
    <xdr:pic>
      <xdr:nvPicPr>
        <xdr:cNvPr id="140" name="Picture 139" descr="D.png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247775" y="5257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2780</xdr:row>
      <xdr:rowOff>0</xdr:rowOff>
    </xdr:from>
    <xdr:to>
      <xdr:col>6</xdr:col>
      <xdr:colOff>463303</xdr:colOff>
      <xdr:row>2793</xdr:row>
      <xdr:rowOff>156977</xdr:rowOff>
    </xdr:to>
    <xdr:pic>
      <xdr:nvPicPr>
        <xdr:cNvPr id="141" name="Picture 140" descr="GOOGL.png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247775" y="5295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2800</xdr:row>
      <xdr:rowOff>0</xdr:rowOff>
    </xdr:from>
    <xdr:to>
      <xdr:col>6</xdr:col>
      <xdr:colOff>463303</xdr:colOff>
      <xdr:row>2813</xdr:row>
      <xdr:rowOff>156977</xdr:rowOff>
    </xdr:to>
    <xdr:pic>
      <xdr:nvPicPr>
        <xdr:cNvPr id="142" name="Picture 141" descr="GOOG.png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247775" y="5334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2820</xdr:row>
      <xdr:rowOff>0</xdr:rowOff>
    </xdr:from>
    <xdr:to>
      <xdr:col>6</xdr:col>
      <xdr:colOff>463303</xdr:colOff>
      <xdr:row>2833</xdr:row>
      <xdr:rowOff>156977</xdr:rowOff>
    </xdr:to>
    <xdr:pic>
      <xdr:nvPicPr>
        <xdr:cNvPr id="143" name="Picture 142" descr="CMI.png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247775" y="5372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2840</xdr:row>
      <xdr:rowOff>0</xdr:rowOff>
    </xdr:from>
    <xdr:to>
      <xdr:col>6</xdr:col>
      <xdr:colOff>463303</xdr:colOff>
      <xdr:row>2853</xdr:row>
      <xdr:rowOff>156977</xdr:rowOff>
    </xdr:to>
    <xdr:pic>
      <xdr:nvPicPr>
        <xdr:cNvPr id="144" name="Picture 143" descr="NOC.png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247775" y="5410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2860</xdr:row>
      <xdr:rowOff>0</xdr:rowOff>
    </xdr:from>
    <xdr:to>
      <xdr:col>6</xdr:col>
      <xdr:colOff>463303</xdr:colOff>
      <xdr:row>2873</xdr:row>
      <xdr:rowOff>156977</xdr:rowOff>
    </xdr:to>
    <xdr:pic>
      <xdr:nvPicPr>
        <xdr:cNvPr id="145" name="Picture 144" descr="IGM_TO.png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247775" y="5448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2880</xdr:row>
      <xdr:rowOff>0</xdr:rowOff>
    </xdr:from>
    <xdr:to>
      <xdr:col>6</xdr:col>
      <xdr:colOff>463303</xdr:colOff>
      <xdr:row>2893</xdr:row>
      <xdr:rowOff>156977</xdr:rowOff>
    </xdr:to>
    <xdr:pic>
      <xdr:nvPicPr>
        <xdr:cNvPr id="146" name="Picture 145" descr="HLT.png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247775" y="5486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2900</xdr:row>
      <xdr:rowOff>0</xdr:rowOff>
    </xdr:from>
    <xdr:to>
      <xdr:col>6</xdr:col>
      <xdr:colOff>463303</xdr:colOff>
      <xdr:row>2913</xdr:row>
      <xdr:rowOff>156977</xdr:rowOff>
    </xdr:to>
    <xdr:pic>
      <xdr:nvPicPr>
        <xdr:cNvPr id="147" name="Picture 146" descr="ELV.png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247775" y="5524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2920</xdr:row>
      <xdr:rowOff>0</xdr:rowOff>
    </xdr:from>
    <xdr:to>
      <xdr:col>6</xdr:col>
      <xdr:colOff>463303</xdr:colOff>
      <xdr:row>2933</xdr:row>
      <xdr:rowOff>156977</xdr:rowOff>
    </xdr:to>
    <xdr:pic>
      <xdr:nvPicPr>
        <xdr:cNvPr id="148" name="Picture 147" descr="OXY.png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247775" y="5562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2940</xdr:row>
      <xdr:rowOff>0</xdr:rowOff>
    </xdr:from>
    <xdr:to>
      <xdr:col>6</xdr:col>
      <xdr:colOff>463303</xdr:colOff>
      <xdr:row>2953</xdr:row>
      <xdr:rowOff>156977</xdr:rowOff>
    </xdr:to>
    <xdr:pic>
      <xdr:nvPicPr>
        <xdr:cNvPr id="149" name="Picture 148" descr="CJT_TO.png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247775" y="5600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2960</xdr:row>
      <xdr:rowOff>0</xdr:rowOff>
    </xdr:from>
    <xdr:to>
      <xdr:col>6</xdr:col>
      <xdr:colOff>463303</xdr:colOff>
      <xdr:row>2973</xdr:row>
      <xdr:rowOff>156977</xdr:rowOff>
    </xdr:to>
    <xdr:pic>
      <xdr:nvPicPr>
        <xdr:cNvPr id="150" name="Picture 149" descr="SES_TO.png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247775" y="5638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2980</xdr:row>
      <xdr:rowOff>0</xdr:rowOff>
    </xdr:from>
    <xdr:to>
      <xdr:col>6</xdr:col>
      <xdr:colOff>463303</xdr:colOff>
      <xdr:row>2993</xdr:row>
      <xdr:rowOff>156977</xdr:rowOff>
    </xdr:to>
    <xdr:pic>
      <xdr:nvPicPr>
        <xdr:cNvPr id="151" name="Picture 150" descr="UBER.png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247775" y="5676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3000</xdr:row>
      <xdr:rowOff>0</xdr:rowOff>
    </xdr:from>
    <xdr:to>
      <xdr:col>6</xdr:col>
      <xdr:colOff>463303</xdr:colOff>
      <xdr:row>3013</xdr:row>
      <xdr:rowOff>156977</xdr:rowOff>
    </xdr:to>
    <xdr:pic>
      <xdr:nvPicPr>
        <xdr:cNvPr id="152" name="Picture 151" descr="PPL.png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247775" y="5715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3020</xdr:row>
      <xdr:rowOff>0</xdr:rowOff>
    </xdr:from>
    <xdr:to>
      <xdr:col>6</xdr:col>
      <xdr:colOff>463303</xdr:colOff>
      <xdr:row>3033</xdr:row>
      <xdr:rowOff>156977</xdr:rowOff>
    </xdr:to>
    <xdr:pic>
      <xdr:nvPicPr>
        <xdr:cNvPr id="153" name="Picture 152" descr="HPE.png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247775" y="5753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3040</xdr:row>
      <xdr:rowOff>0</xdr:rowOff>
    </xdr:from>
    <xdr:to>
      <xdr:col>6</xdr:col>
      <xdr:colOff>463303</xdr:colOff>
      <xdr:row>3053</xdr:row>
      <xdr:rowOff>156977</xdr:rowOff>
    </xdr:to>
    <xdr:pic>
      <xdr:nvPicPr>
        <xdr:cNvPr id="154" name="Picture 153" descr="AG_TO.png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247775" y="5791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3060</xdr:row>
      <xdr:rowOff>0</xdr:rowOff>
    </xdr:from>
    <xdr:to>
      <xdr:col>6</xdr:col>
      <xdr:colOff>463303</xdr:colOff>
      <xdr:row>3073</xdr:row>
      <xdr:rowOff>156977</xdr:rowOff>
    </xdr:to>
    <xdr:pic>
      <xdr:nvPicPr>
        <xdr:cNvPr id="155" name="Picture 154" descr="T_TO.png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247775" y="5829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3080</xdr:row>
      <xdr:rowOff>0</xdr:rowOff>
    </xdr:from>
    <xdr:to>
      <xdr:col>6</xdr:col>
      <xdr:colOff>463303</xdr:colOff>
      <xdr:row>3093</xdr:row>
      <xdr:rowOff>156977</xdr:rowOff>
    </xdr:to>
    <xdr:pic>
      <xdr:nvPicPr>
        <xdr:cNvPr id="156" name="Picture 155" descr="CRR-UN_TO.png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247775" y="5867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3100</xdr:row>
      <xdr:rowOff>0</xdr:rowOff>
    </xdr:from>
    <xdr:to>
      <xdr:col>6</xdr:col>
      <xdr:colOff>463303</xdr:colOff>
      <xdr:row>3113</xdr:row>
      <xdr:rowOff>156977</xdr:rowOff>
    </xdr:to>
    <xdr:pic>
      <xdr:nvPicPr>
        <xdr:cNvPr id="157" name="Picture 156" descr="TKO.png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247775" y="5905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3120</xdr:row>
      <xdr:rowOff>0</xdr:rowOff>
    </xdr:from>
    <xdr:to>
      <xdr:col>6</xdr:col>
      <xdr:colOff>463303</xdr:colOff>
      <xdr:row>3133</xdr:row>
      <xdr:rowOff>156977</xdr:rowOff>
    </xdr:to>
    <xdr:pic>
      <xdr:nvPicPr>
        <xdr:cNvPr id="158" name="Picture 157" descr="ABBV.png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247775" y="5943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3140</xdr:row>
      <xdr:rowOff>0</xdr:rowOff>
    </xdr:from>
    <xdr:to>
      <xdr:col>6</xdr:col>
      <xdr:colOff>463303</xdr:colOff>
      <xdr:row>3153</xdr:row>
      <xdr:rowOff>156977</xdr:rowOff>
    </xdr:to>
    <xdr:pic>
      <xdr:nvPicPr>
        <xdr:cNvPr id="159" name="Picture 158" descr="HUM.png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247775" y="5981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3160</xdr:row>
      <xdr:rowOff>0</xdr:rowOff>
    </xdr:from>
    <xdr:to>
      <xdr:col>6</xdr:col>
      <xdr:colOff>463303</xdr:colOff>
      <xdr:row>3173</xdr:row>
      <xdr:rowOff>156977</xdr:rowOff>
    </xdr:to>
    <xdr:pic>
      <xdr:nvPicPr>
        <xdr:cNvPr id="160" name="Picture 159" descr="RCI-B_TO.png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247775" y="6019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3180</xdr:row>
      <xdr:rowOff>0</xdr:rowOff>
    </xdr:from>
    <xdr:to>
      <xdr:col>6</xdr:col>
      <xdr:colOff>463303</xdr:colOff>
      <xdr:row>3193</xdr:row>
      <xdr:rowOff>156977</xdr:rowOff>
    </xdr:to>
    <xdr:pic>
      <xdr:nvPicPr>
        <xdr:cNvPr id="161" name="Picture 160" descr="CIGI_TO.png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247775" y="6057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3200</xdr:row>
      <xdr:rowOff>0</xdr:rowOff>
    </xdr:from>
    <xdr:to>
      <xdr:col>6</xdr:col>
      <xdr:colOff>463303</xdr:colOff>
      <xdr:row>3213</xdr:row>
      <xdr:rowOff>156977</xdr:rowOff>
    </xdr:to>
    <xdr:pic>
      <xdr:nvPicPr>
        <xdr:cNvPr id="162" name="Picture 161" descr="IFC_TO.png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1247775" y="6096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3220</xdr:row>
      <xdr:rowOff>0</xdr:rowOff>
    </xdr:from>
    <xdr:to>
      <xdr:col>6</xdr:col>
      <xdr:colOff>463303</xdr:colOff>
      <xdr:row>3233</xdr:row>
      <xdr:rowOff>156977</xdr:rowOff>
    </xdr:to>
    <xdr:pic>
      <xdr:nvPicPr>
        <xdr:cNvPr id="163" name="Picture 162" descr="PSI_TO.png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247775" y="6134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3240</xdr:row>
      <xdr:rowOff>0</xdr:rowOff>
    </xdr:from>
    <xdr:to>
      <xdr:col>6</xdr:col>
      <xdr:colOff>463303</xdr:colOff>
      <xdr:row>3253</xdr:row>
      <xdr:rowOff>156977</xdr:rowOff>
    </xdr:to>
    <xdr:pic>
      <xdr:nvPicPr>
        <xdr:cNvPr id="164" name="Picture 163" descr="AGI_TO.png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1247775" y="6172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3260</xdr:row>
      <xdr:rowOff>0</xdr:rowOff>
    </xdr:from>
    <xdr:to>
      <xdr:col>6</xdr:col>
      <xdr:colOff>463303</xdr:colOff>
      <xdr:row>3273</xdr:row>
      <xdr:rowOff>156977</xdr:rowOff>
    </xdr:to>
    <xdr:pic>
      <xdr:nvPicPr>
        <xdr:cNvPr id="165" name="Picture 164" descr="STT.png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247775" y="6210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3280</xdr:row>
      <xdr:rowOff>0</xdr:rowOff>
    </xdr:from>
    <xdr:to>
      <xdr:col>6</xdr:col>
      <xdr:colOff>463303</xdr:colOff>
      <xdr:row>3293</xdr:row>
      <xdr:rowOff>156977</xdr:rowOff>
    </xdr:to>
    <xdr:pic>
      <xdr:nvPicPr>
        <xdr:cNvPr id="166" name="Picture 165" descr="MU.png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247775" y="6248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3300</xdr:row>
      <xdr:rowOff>0</xdr:rowOff>
    </xdr:from>
    <xdr:to>
      <xdr:col>6</xdr:col>
      <xdr:colOff>463303</xdr:colOff>
      <xdr:row>3313</xdr:row>
      <xdr:rowOff>156977</xdr:rowOff>
    </xdr:to>
    <xdr:pic>
      <xdr:nvPicPr>
        <xdr:cNvPr id="167" name="Picture 166" descr="TAP.png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247775" y="6286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3320</xdr:row>
      <xdr:rowOff>0</xdr:rowOff>
    </xdr:from>
    <xdr:to>
      <xdr:col>6</xdr:col>
      <xdr:colOff>463303</xdr:colOff>
      <xdr:row>3333</xdr:row>
      <xdr:rowOff>156977</xdr:rowOff>
    </xdr:to>
    <xdr:pic>
      <xdr:nvPicPr>
        <xdr:cNvPr id="168" name="Picture 167" descr="MLM.png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247775" y="6324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3340</xdr:row>
      <xdr:rowOff>0</xdr:rowOff>
    </xdr:from>
    <xdr:to>
      <xdr:col>6</xdr:col>
      <xdr:colOff>463303</xdr:colOff>
      <xdr:row>3353</xdr:row>
      <xdr:rowOff>156977</xdr:rowOff>
    </xdr:to>
    <xdr:pic>
      <xdr:nvPicPr>
        <xdr:cNvPr id="169" name="Picture 168" descr="LH.png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247775" y="6362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3360</xdr:row>
      <xdr:rowOff>0</xdr:rowOff>
    </xdr:from>
    <xdr:to>
      <xdr:col>6</xdr:col>
      <xdr:colOff>463303</xdr:colOff>
      <xdr:row>3373</xdr:row>
      <xdr:rowOff>156977</xdr:rowOff>
    </xdr:to>
    <xdr:pic>
      <xdr:nvPicPr>
        <xdr:cNvPr id="170" name="Picture 169" descr="RMD.png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247775" y="6400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3380</xdr:row>
      <xdr:rowOff>0</xdr:rowOff>
    </xdr:from>
    <xdr:to>
      <xdr:col>6</xdr:col>
      <xdr:colOff>463303</xdr:colOff>
      <xdr:row>3393</xdr:row>
      <xdr:rowOff>156977</xdr:rowOff>
    </xdr:to>
    <xdr:pic>
      <xdr:nvPicPr>
        <xdr:cNvPr id="171" name="Picture 170" descr="META.png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247775" y="6438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3400</xdr:row>
      <xdr:rowOff>0</xdr:rowOff>
    </xdr:from>
    <xdr:to>
      <xdr:col>6</xdr:col>
      <xdr:colOff>463303</xdr:colOff>
      <xdr:row>3413</xdr:row>
      <xdr:rowOff>156977</xdr:rowOff>
    </xdr:to>
    <xdr:pic>
      <xdr:nvPicPr>
        <xdr:cNvPr id="172" name="Picture 171" descr="DGX.png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247775" y="6477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3420</xdr:row>
      <xdr:rowOff>0</xdr:rowOff>
    </xdr:from>
    <xdr:to>
      <xdr:col>6</xdr:col>
      <xdr:colOff>463303</xdr:colOff>
      <xdr:row>3433</xdr:row>
      <xdr:rowOff>156977</xdr:rowOff>
    </xdr:to>
    <xdr:pic>
      <xdr:nvPicPr>
        <xdr:cNvPr id="173" name="Picture 172" descr="LVS.png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1247775" y="6515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3440</xdr:row>
      <xdr:rowOff>0</xdr:rowOff>
    </xdr:from>
    <xdr:to>
      <xdr:col>6</xdr:col>
      <xdr:colOff>463303</xdr:colOff>
      <xdr:row>3453</xdr:row>
      <xdr:rowOff>156977</xdr:rowOff>
    </xdr:to>
    <xdr:pic>
      <xdr:nvPicPr>
        <xdr:cNvPr id="174" name="Picture 173" descr="LDOS.png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247775" y="6553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3460</xdr:row>
      <xdr:rowOff>0</xdr:rowOff>
    </xdr:from>
    <xdr:to>
      <xdr:col>6</xdr:col>
      <xdr:colOff>463303</xdr:colOff>
      <xdr:row>3473</xdr:row>
      <xdr:rowOff>156977</xdr:rowOff>
    </xdr:to>
    <xdr:pic>
      <xdr:nvPicPr>
        <xdr:cNvPr id="175" name="Picture 174" descr="PHM.png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247775" y="6591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3480</xdr:row>
      <xdr:rowOff>0</xdr:rowOff>
    </xdr:from>
    <xdr:to>
      <xdr:col>6</xdr:col>
      <xdr:colOff>463303</xdr:colOff>
      <xdr:row>3493</xdr:row>
      <xdr:rowOff>156977</xdr:rowOff>
    </xdr:to>
    <xdr:pic>
      <xdr:nvPicPr>
        <xdr:cNvPr id="176" name="Picture 175" descr="DHI.png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247775" y="6629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3500</xdr:row>
      <xdr:rowOff>0</xdr:rowOff>
    </xdr:from>
    <xdr:to>
      <xdr:col>6</xdr:col>
      <xdr:colOff>463303</xdr:colOff>
      <xdr:row>3513</xdr:row>
      <xdr:rowOff>156977</xdr:rowOff>
    </xdr:to>
    <xdr:pic>
      <xdr:nvPicPr>
        <xdr:cNvPr id="177" name="Picture 176" descr="MO.png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1247775" y="6667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3520</xdr:row>
      <xdr:rowOff>0</xdr:rowOff>
    </xdr:from>
    <xdr:to>
      <xdr:col>6</xdr:col>
      <xdr:colOff>463303</xdr:colOff>
      <xdr:row>3533</xdr:row>
      <xdr:rowOff>156977</xdr:rowOff>
    </xdr:to>
    <xdr:pic>
      <xdr:nvPicPr>
        <xdr:cNvPr id="178" name="Picture 177" descr="GNRC.png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1247775" y="6705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3540</xdr:row>
      <xdr:rowOff>0</xdr:rowOff>
    </xdr:from>
    <xdr:to>
      <xdr:col>6</xdr:col>
      <xdr:colOff>463303</xdr:colOff>
      <xdr:row>3553</xdr:row>
      <xdr:rowOff>156977</xdr:rowOff>
    </xdr:to>
    <xdr:pic>
      <xdr:nvPicPr>
        <xdr:cNvPr id="179" name="Picture 178" descr="TXN.png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247775" y="6743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3560</xdr:row>
      <xdr:rowOff>0</xdr:rowOff>
    </xdr:from>
    <xdr:to>
      <xdr:col>6</xdr:col>
      <xdr:colOff>463303</xdr:colOff>
      <xdr:row>3573</xdr:row>
      <xdr:rowOff>156977</xdr:rowOff>
    </xdr:to>
    <xdr:pic>
      <xdr:nvPicPr>
        <xdr:cNvPr id="180" name="Picture 179" descr="COF.png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247775" y="6781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3580</xdr:row>
      <xdr:rowOff>0</xdr:rowOff>
    </xdr:from>
    <xdr:to>
      <xdr:col>6</xdr:col>
      <xdr:colOff>463303</xdr:colOff>
      <xdr:row>3593</xdr:row>
      <xdr:rowOff>156977</xdr:rowOff>
    </xdr:to>
    <xdr:pic>
      <xdr:nvPicPr>
        <xdr:cNvPr id="181" name="Picture 180" descr="NWS.png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247775" y="6819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3600</xdr:row>
      <xdr:rowOff>0</xdr:rowOff>
    </xdr:from>
    <xdr:to>
      <xdr:col>6</xdr:col>
      <xdr:colOff>463303</xdr:colOff>
      <xdr:row>3613</xdr:row>
      <xdr:rowOff>156977</xdr:rowOff>
    </xdr:to>
    <xdr:pic>
      <xdr:nvPicPr>
        <xdr:cNvPr id="182" name="Picture 181" descr="BEN.png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1247775" y="6858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3620</xdr:row>
      <xdr:rowOff>0</xdr:rowOff>
    </xdr:from>
    <xdr:to>
      <xdr:col>6</xdr:col>
      <xdr:colOff>463303</xdr:colOff>
      <xdr:row>3633</xdr:row>
      <xdr:rowOff>156977</xdr:rowOff>
    </xdr:to>
    <xdr:pic>
      <xdr:nvPicPr>
        <xdr:cNvPr id="183" name="Picture 182" descr="AP-UN_TO.png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247775" y="6896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3640</xdr:row>
      <xdr:rowOff>0</xdr:rowOff>
    </xdr:from>
    <xdr:to>
      <xdr:col>6</xdr:col>
      <xdr:colOff>463303</xdr:colOff>
      <xdr:row>3653</xdr:row>
      <xdr:rowOff>156977</xdr:rowOff>
    </xdr:to>
    <xdr:pic>
      <xdr:nvPicPr>
        <xdr:cNvPr id="184" name="Picture 183" descr="DOO_TO.png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247775" y="6934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3660</xdr:row>
      <xdr:rowOff>0</xdr:rowOff>
    </xdr:from>
    <xdr:to>
      <xdr:col>6</xdr:col>
      <xdr:colOff>463303</xdr:colOff>
      <xdr:row>3673</xdr:row>
      <xdr:rowOff>156977</xdr:rowOff>
    </xdr:to>
    <xdr:pic>
      <xdr:nvPicPr>
        <xdr:cNvPr id="185" name="Picture 184" descr="MKTX.png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247775" y="6972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3680</xdr:row>
      <xdr:rowOff>0</xdr:rowOff>
    </xdr:from>
    <xdr:to>
      <xdr:col>6</xdr:col>
      <xdr:colOff>463303</xdr:colOff>
      <xdr:row>3693</xdr:row>
      <xdr:rowOff>156977</xdr:rowOff>
    </xdr:to>
    <xdr:pic>
      <xdr:nvPicPr>
        <xdr:cNvPr id="186" name="Picture 185" descr="WAT.png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1247775" y="7010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3700</xdr:row>
      <xdr:rowOff>0</xdr:rowOff>
    </xdr:from>
    <xdr:to>
      <xdr:col>6</xdr:col>
      <xdr:colOff>463303</xdr:colOff>
      <xdr:row>3713</xdr:row>
      <xdr:rowOff>156977</xdr:rowOff>
    </xdr:to>
    <xdr:pic>
      <xdr:nvPicPr>
        <xdr:cNvPr id="187" name="Picture 186" descr="TGT.png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1247775" y="7048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3720</xdr:row>
      <xdr:rowOff>0</xdr:rowOff>
    </xdr:from>
    <xdr:to>
      <xdr:col>6</xdr:col>
      <xdr:colOff>463303</xdr:colOff>
      <xdr:row>3733</xdr:row>
      <xdr:rowOff>156977</xdr:rowOff>
    </xdr:to>
    <xdr:pic>
      <xdr:nvPicPr>
        <xdr:cNvPr id="188" name="Picture 187" descr="CMCSA.png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247775" y="7086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3740</xdr:row>
      <xdr:rowOff>0</xdr:rowOff>
    </xdr:from>
    <xdr:to>
      <xdr:col>6</xdr:col>
      <xdr:colOff>463303</xdr:colOff>
      <xdr:row>3753</xdr:row>
      <xdr:rowOff>156977</xdr:rowOff>
    </xdr:to>
    <xdr:pic>
      <xdr:nvPicPr>
        <xdr:cNvPr id="189" name="Picture 188" descr="PSX.png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1247775" y="7124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3760</xdr:row>
      <xdr:rowOff>0</xdr:rowOff>
    </xdr:from>
    <xdr:to>
      <xdr:col>6</xdr:col>
      <xdr:colOff>463303</xdr:colOff>
      <xdr:row>3773</xdr:row>
      <xdr:rowOff>156977</xdr:rowOff>
    </xdr:to>
    <xdr:pic>
      <xdr:nvPicPr>
        <xdr:cNvPr id="190" name="Picture 189" descr="ACO-X_TO.png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1247775" y="7162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3780</xdr:row>
      <xdr:rowOff>0</xdr:rowOff>
    </xdr:from>
    <xdr:to>
      <xdr:col>6</xdr:col>
      <xdr:colOff>463303</xdr:colOff>
      <xdr:row>3793</xdr:row>
      <xdr:rowOff>156977</xdr:rowOff>
    </xdr:to>
    <xdr:pic>
      <xdr:nvPicPr>
        <xdr:cNvPr id="191" name="Picture 190" descr="AWK.png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1247775" y="7200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3800</xdr:row>
      <xdr:rowOff>0</xdr:rowOff>
    </xdr:from>
    <xdr:to>
      <xdr:col>6</xdr:col>
      <xdr:colOff>463303</xdr:colOff>
      <xdr:row>3813</xdr:row>
      <xdr:rowOff>156977</xdr:rowOff>
    </xdr:to>
    <xdr:pic>
      <xdr:nvPicPr>
        <xdr:cNvPr id="192" name="Picture 191" descr="ABT.png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1247775" y="7239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3820</xdr:row>
      <xdr:rowOff>0</xdr:rowOff>
    </xdr:from>
    <xdr:to>
      <xdr:col>6</xdr:col>
      <xdr:colOff>463303</xdr:colOff>
      <xdr:row>3833</xdr:row>
      <xdr:rowOff>156977</xdr:rowOff>
    </xdr:to>
    <xdr:pic>
      <xdr:nvPicPr>
        <xdr:cNvPr id="193" name="Picture 192" descr="ONEX_TO.png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247775" y="7277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3840</xdr:row>
      <xdr:rowOff>0</xdr:rowOff>
    </xdr:from>
    <xdr:to>
      <xdr:col>6</xdr:col>
      <xdr:colOff>463303</xdr:colOff>
      <xdr:row>3853</xdr:row>
      <xdr:rowOff>156977</xdr:rowOff>
    </xdr:to>
    <xdr:pic>
      <xdr:nvPicPr>
        <xdr:cNvPr id="194" name="Picture 193" descr="ACGL.png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247775" y="7315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3860</xdr:row>
      <xdr:rowOff>0</xdr:rowOff>
    </xdr:from>
    <xdr:to>
      <xdr:col>6</xdr:col>
      <xdr:colOff>463303</xdr:colOff>
      <xdr:row>3873</xdr:row>
      <xdr:rowOff>156977</xdr:rowOff>
    </xdr:to>
    <xdr:pic>
      <xdr:nvPicPr>
        <xdr:cNvPr id="195" name="Picture 194" descr="BG.png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247775" y="7353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3880</xdr:row>
      <xdr:rowOff>0</xdr:rowOff>
    </xdr:from>
    <xdr:to>
      <xdr:col>6</xdr:col>
      <xdr:colOff>463303</xdr:colOff>
      <xdr:row>3893</xdr:row>
      <xdr:rowOff>156977</xdr:rowOff>
    </xdr:to>
    <xdr:pic>
      <xdr:nvPicPr>
        <xdr:cNvPr id="196" name="Picture 195" descr="EVRG.png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247775" y="7391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3900</xdr:row>
      <xdr:rowOff>0</xdr:rowOff>
    </xdr:from>
    <xdr:to>
      <xdr:col>6</xdr:col>
      <xdr:colOff>463303</xdr:colOff>
      <xdr:row>3913</xdr:row>
      <xdr:rowOff>156977</xdr:rowOff>
    </xdr:to>
    <xdr:pic>
      <xdr:nvPicPr>
        <xdr:cNvPr id="197" name="Picture 196" descr="AEP.png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1247775" y="7429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3920</xdr:row>
      <xdr:rowOff>0</xdr:rowOff>
    </xdr:from>
    <xdr:to>
      <xdr:col>6</xdr:col>
      <xdr:colOff>463303</xdr:colOff>
      <xdr:row>3933</xdr:row>
      <xdr:rowOff>156977</xdr:rowOff>
    </xdr:to>
    <xdr:pic>
      <xdr:nvPicPr>
        <xdr:cNvPr id="198" name="Picture 197" descr="JWEL_TO.png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1247775" y="7467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3940</xdr:row>
      <xdr:rowOff>0</xdr:rowOff>
    </xdr:from>
    <xdr:to>
      <xdr:col>6</xdr:col>
      <xdr:colOff>463303</xdr:colOff>
      <xdr:row>3953</xdr:row>
      <xdr:rowOff>156977</xdr:rowOff>
    </xdr:to>
    <xdr:pic>
      <xdr:nvPicPr>
        <xdr:cNvPr id="199" name="Picture 198" descr="STX.png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1247775" y="7505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3960</xdr:row>
      <xdr:rowOff>0</xdr:rowOff>
    </xdr:from>
    <xdr:to>
      <xdr:col>6</xdr:col>
      <xdr:colOff>463303</xdr:colOff>
      <xdr:row>3973</xdr:row>
      <xdr:rowOff>156977</xdr:rowOff>
    </xdr:to>
    <xdr:pic>
      <xdr:nvPicPr>
        <xdr:cNvPr id="200" name="Picture 199" descr="TSN.png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1247775" y="7543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3980</xdr:row>
      <xdr:rowOff>0</xdr:rowOff>
    </xdr:from>
    <xdr:to>
      <xdr:col>6</xdr:col>
      <xdr:colOff>463303</xdr:colOff>
      <xdr:row>3993</xdr:row>
      <xdr:rowOff>156977</xdr:rowOff>
    </xdr:to>
    <xdr:pic>
      <xdr:nvPicPr>
        <xdr:cNvPr id="201" name="Picture 200" descr="ERIE.png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1247775" y="7581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4000</xdr:row>
      <xdr:rowOff>0</xdr:rowOff>
    </xdr:from>
    <xdr:to>
      <xdr:col>6</xdr:col>
      <xdr:colOff>463303</xdr:colOff>
      <xdr:row>4013</xdr:row>
      <xdr:rowOff>156977</xdr:rowOff>
    </xdr:to>
    <xdr:pic>
      <xdr:nvPicPr>
        <xdr:cNvPr id="202" name="Picture 201" descr="MCD.png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1247775" y="7620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4020</xdr:row>
      <xdr:rowOff>0</xdr:rowOff>
    </xdr:from>
    <xdr:to>
      <xdr:col>6</xdr:col>
      <xdr:colOff>463303</xdr:colOff>
      <xdr:row>4033</xdr:row>
      <xdr:rowOff>156977</xdr:rowOff>
    </xdr:to>
    <xdr:pic>
      <xdr:nvPicPr>
        <xdr:cNvPr id="203" name="Picture 202" descr="GD.png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1247775" y="7658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4040</xdr:row>
      <xdr:rowOff>0</xdr:rowOff>
    </xdr:from>
    <xdr:to>
      <xdr:col>6</xdr:col>
      <xdr:colOff>463303</xdr:colOff>
      <xdr:row>4053</xdr:row>
      <xdr:rowOff>156977</xdr:rowOff>
    </xdr:to>
    <xdr:pic>
      <xdr:nvPicPr>
        <xdr:cNvPr id="204" name="Picture 203" descr="AZO.png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1247775" y="7696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4060</xdr:row>
      <xdr:rowOff>0</xdr:rowOff>
    </xdr:from>
    <xdr:to>
      <xdr:col>6</xdr:col>
      <xdr:colOff>463303</xdr:colOff>
      <xdr:row>4073</xdr:row>
      <xdr:rowOff>156977</xdr:rowOff>
    </xdr:to>
    <xdr:pic>
      <xdr:nvPicPr>
        <xdr:cNvPr id="205" name="Picture 204" descr="AFL.png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1247775" y="7734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4080</xdr:row>
      <xdr:rowOff>0</xdr:rowOff>
    </xdr:from>
    <xdr:to>
      <xdr:col>6</xdr:col>
      <xdr:colOff>463303</xdr:colOff>
      <xdr:row>4093</xdr:row>
      <xdr:rowOff>156977</xdr:rowOff>
    </xdr:to>
    <xdr:pic>
      <xdr:nvPicPr>
        <xdr:cNvPr id="206" name="Picture 205" descr="KDP.png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1247775" y="7772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4100</xdr:row>
      <xdr:rowOff>0</xdr:rowOff>
    </xdr:from>
    <xdr:to>
      <xdr:col>6</xdr:col>
      <xdr:colOff>463303</xdr:colOff>
      <xdr:row>4113</xdr:row>
      <xdr:rowOff>156977</xdr:rowOff>
    </xdr:to>
    <xdr:pic>
      <xdr:nvPicPr>
        <xdr:cNvPr id="207" name="Picture 206" descr="LUN_TO.png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1247775" y="7810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4120</xdr:row>
      <xdr:rowOff>0</xdr:rowOff>
    </xdr:from>
    <xdr:to>
      <xdr:col>6</xdr:col>
      <xdr:colOff>463303</xdr:colOff>
      <xdr:row>4133</xdr:row>
      <xdr:rowOff>156977</xdr:rowOff>
    </xdr:to>
    <xdr:pic>
      <xdr:nvPicPr>
        <xdr:cNvPr id="208" name="Picture 207" descr="PAAS_TO.png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247775" y="7848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4140</xdr:row>
      <xdr:rowOff>0</xdr:rowOff>
    </xdr:from>
    <xdr:to>
      <xdr:col>6</xdr:col>
      <xdr:colOff>463303</xdr:colOff>
      <xdr:row>4153</xdr:row>
      <xdr:rowOff>156977</xdr:rowOff>
    </xdr:to>
    <xdr:pic>
      <xdr:nvPicPr>
        <xdr:cNvPr id="209" name="Picture 208" descr="ELD_TO.png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1247775" y="7886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4160</xdr:row>
      <xdr:rowOff>0</xdr:rowOff>
    </xdr:from>
    <xdr:to>
      <xdr:col>6</xdr:col>
      <xdr:colOff>463303</xdr:colOff>
      <xdr:row>4173</xdr:row>
      <xdr:rowOff>156977</xdr:rowOff>
    </xdr:to>
    <xdr:pic>
      <xdr:nvPicPr>
        <xdr:cNvPr id="210" name="Picture 209" descr="ALLE.png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1247775" y="7924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4180</xdr:row>
      <xdr:rowOff>0</xdr:rowOff>
    </xdr:from>
    <xdr:to>
      <xdr:col>6</xdr:col>
      <xdr:colOff>463303</xdr:colOff>
      <xdr:row>4193</xdr:row>
      <xdr:rowOff>156977</xdr:rowOff>
    </xdr:to>
    <xdr:pic>
      <xdr:nvPicPr>
        <xdr:cNvPr id="211" name="Picture 210" descr="SOBO_TO.png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1247775" y="7962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4200</xdr:row>
      <xdr:rowOff>0</xdr:rowOff>
    </xdr:from>
    <xdr:to>
      <xdr:col>6</xdr:col>
      <xdr:colOff>463303</xdr:colOff>
      <xdr:row>4213</xdr:row>
      <xdr:rowOff>156977</xdr:rowOff>
    </xdr:to>
    <xdr:pic>
      <xdr:nvPicPr>
        <xdr:cNvPr id="212" name="Picture 211" descr="ATO.png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1247775" y="8001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4220</xdr:row>
      <xdr:rowOff>0</xdr:rowOff>
    </xdr:from>
    <xdr:to>
      <xdr:col>6</xdr:col>
      <xdr:colOff>463303</xdr:colOff>
      <xdr:row>4233</xdr:row>
      <xdr:rowOff>156977</xdr:rowOff>
    </xdr:to>
    <xdr:pic>
      <xdr:nvPicPr>
        <xdr:cNvPr id="213" name="Picture 212" descr="IMG_TO.png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247775" y="803910000"/>
          <a:ext cx="3511303" cy="263347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213"/>
  <sheetViews>
    <sheetView tabSelected="1" workbookViewId="0">
      <pane ySplit="1" topLeftCell="A2" activePane="bottomLeft" state="frozen"/>
      <selection pane="bottomLeft"/>
    </sheetView>
  </sheetViews>
  <sheetFormatPr defaultRowHeight="15" x14ac:dyDescent="0.25"/>
  <cols>
    <col min="1" max="1" width="14.7109375" customWidth="1"/>
    <col min="2" max="2" width="49.7109375" customWidth="1"/>
    <col min="3" max="4" width="12.7109375" customWidth="1"/>
    <col min="5" max="5" width="34.7109375" customWidth="1"/>
    <col min="6" max="6" width="31.7109375" customWidth="1"/>
    <col min="7" max="7" width="28.7109375" customWidth="1"/>
    <col min="8" max="8" width="15.7109375" customWidth="1"/>
    <col min="9" max="9" width="25.7109375" customWidth="1"/>
    <col min="10" max="10" width="27.7109375" customWidth="1"/>
    <col min="11" max="12" width="14.7109375" customWidth="1"/>
    <col min="13" max="14" width="17.7109375" customWidth="1"/>
    <col min="15" max="15" width="26.7109375" customWidth="1"/>
    <col min="16" max="16" width="22.7109375" customWidth="1"/>
    <col min="17" max="17" width="23.7109375" customWidth="1"/>
    <col min="18" max="18" width="15.7109375" customWidth="1"/>
    <col min="19" max="19" width="18.7109375" customWidth="1"/>
    <col min="20" max="20" width="23.7109375" customWidth="1"/>
    <col min="21" max="21" width="16.7109375" customWidth="1"/>
    <col min="22" max="22" width="23.7109375" customWidth="1"/>
    <col min="23" max="23" width="25.7109375" customWidth="1"/>
    <col min="24" max="24" width="18.7109375" customWidth="1"/>
    <col min="25" max="25" width="13.7109375" customWidth="1"/>
    <col min="26" max="26" width="19.7109375" customWidth="1"/>
    <col min="27" max="27" width="22.7109375" customWidth="1"/>
    <col min="28" max="30" width="24.7109375" customWidth="1"/>
    <col min="31" max="32" width="31.7109375" customWidth="1"/>
    <col min="33" max="34" width="30.7109375" customWidth="1"/>
    <col min="35" max="35" width="36.7109375" customWidth="1"/>
    <col min="36" max="36" width="21.7109375" customWidth="1"/>
    <col min="37" max="37" width="26.7109375" customWidth="1"/>
    <col min="38" max="39" width="27.7109375" customWidth="1"/>
    <col min="40" max="40" width="26.7109375" customWidth="1"/>
    <col min="41" max="41" width="34.7109375" customWidth="1"/>
    <col min="42" max="42" width="40.7109375" customWidth="1"/>
    <col min="43" max="43" width="36.7109375" customWidth="1"/>
    <col min="44" max="44" width="38.7109375" customWidth="1"/>
    <col min="45" max="45" width="39.7109375" customWidth="1"/>
    <col min="46" max="46" width="30.7109375" customWidth="1"/>
    <col min="47" max="47" width="31.7109375" customWidth="1"/>
    <col min="48" max="48" width="29.7109375" customWidth="1"/>
    <col min="49" max="49" width="35.7109375" customWidth="1"/>
    <col min="50" max="50" width="37.7109375" customWidth="1"/>
    <col min="51" max="51" width="35.7109375" customWidth="1"/>
    <col min="52" max="52" width="31.7109375" customWidth="1"/>
    <col min="53" max="53" width="36.7109375" customWidth="1"/>
    <col min="54" max="54" width="48.7109375" customWidth="1"/>
    <col min="55" max="55" width="39.7109375" customWidth="1"/>
    <col min="56" max="57" width="36.7109375" customWidth="1"/>
    <col min="58" max="58" width="43.7109375" customWidth="1"/>
    <col min="59" max="59" width="42.7109375" customWidth="1"/>
    <col min="60" max="60" width="44.7109375" customWidth="1"/>
    <col min="61" max="61" width="48.7109375" customWidth="1"/>
    <col min="62" max="62" width="44.7109375" customWidth="1"/>
    <col min="63" max="63" width="47.7109375" customWidth="1"/>
    <col min="64" max="64" width="40.7109375" customWidth="1"/>
    <col min="65" max="65" width="39.7109375" customWidth="1"/>
    <col min="66" max="66" width="60.7109375" customWidth="1"/>
    <col min="67" max="67" width="7.7109375" customWidth="1"/>
    <col min="68" max="68" width="10.7109375" style="1" customWidth="1"/>
    <col min="69" max="70" width="10.7109375" customWidth="1"/>
    <col min="71" max="71" width="14.7109375" customWidth="1"/>
    <col min="72" max="74" width="12.7109375" customWidth="1"/>
    <col min="75" max="75" width="10.7109375" customWidth="1"/>
    <col min="76" max="76" width="12.7109375" customWidth="1"/>
    <col min="77" max="77" width="14.7109375" style="1" customWidth="1"/>
    <col min="78" max="78" width="14.7109375" style="2" customWidth="1"/>
    <col min="79" max="79" width="12.7109375" customWidth="1"/>
  </cols>
  <sheetData>
    <row r="1" spans="1:79" x14ac:dyDescent="0.25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  <c r="M1" s="3" t="s">
        <v>12</v>
      </c>
      <c r="N1" s="3" t="s">
        <v>13</v>
      </c>
      <c r="O1" s="3" t="s">
        <v>14</v>
      </c>
      <c r="P1" s="3" t="s">
        <v>15</v>
      </c>
      <c r="Q1" s="3" t="s">
        <v>16</v>
      </c>
      <c r="R1" s="3" t="s">
        <v>17</v>
      </c>
      <c r="S1" s="3" t="s">
        <v>18</v>
      </c>
      <c r="T1" s="3" t="s">
        <v>19</v>
      </c>
      <c r="U1" s="3" t="s">
        <v>20</v>
      </c>
      <c r="V1" s="3" t="s">
        <v>21</v>
      </c>
      <c r="W1" s="3" t="s">
        <v>22</v>
      </c>
      <c r="X1" s="3" t="s">
        <v>23</v>
      </c>
      <c r="Y1" s="3" t="s">
        <v>24</v>
      </c>
      <c r="Z1" s="3" t="s">
        <v>25</v>
      </c>
      <c r="AA1" s="3" t="s">
        <v>26</v>
      </c>
      <c r="AB1" s="3" t="s">
        <v>27</v>
      </c>
      <c r="AC1" s="3" t="s">
        <v>28</v>
      </c>
      <c r="AD1" s="3" t="s">
        <v>29</v>
      </c>
      <c r="AE1" s="3" t="s">
        <v>30</v>
      </c>
      <c r="AF1" s="3" t="s">
        <v>31</v>
      </c>
      <c r="AG1" s="3" t="s">
        <v>32</v>
      </c>
      <c r="AH1" s="3" t="s">
        <v>33</v>
      </c>
      <c r="AI1" s="3" t="s">
        <v>34</v>
      </c>
      <c r="AJ1" s="3" t="s">
        <v>35</v>
      </c>
      <c r="AK1" s="3" t="s">
        <v>36</v>
      </c>
      <c r="AL1" s="3" t="s">
        <v>37</v>
      </c>
      <c r="AM1" s="3" t="s">
        <v>38</v>
      </c>
      <c r="AN1" s="3" t="s">
        <v>39</v>
      </c>
      <c r="AO1" s="3" t="s">
        <v>40</v>
      </c>
      <c r="AP1" s="3" t="s">
        <v>41</v>
      </c>
      <c r="AQ1" s="3" t="s">
        <v>42</v>
      </c>
      <c r="AR1" s="3" t="s">
        <v>43</v>
      </c>
      <c r="AS1" s="3" t="s">
        <v>44</v>
      </c>
      <c r="AT1" s="3" t="s">
        <v>45</v>
      </c>
      <c r="AU1" s="3" t="s">
        <v>46</v>
      </c>
      <c r="AV1" s="3" t="s">
        <v>47</v>
      </c>
      <c r="AW1" s="3" t="s">
        <v>48</v>
      </c>
      <c r="AX1" s="3" t="s">
        <v>49</v>
      </c>
      <c r="AY1" s="3" t="s">
        <v>50</v>
      </c>
      <c r="AZ1" s="3" t="s">
        <v>51</v>
      </c>
      <c r="BA1" s="3" t="s">
        <v>52</v>
      </c>
      <c r="BB1" s="3" t="s">
        <v>53</v>
      </c>
      <c r="BC1" s="3" t="s">
        <v>54</v>
      </c>
      <c r="BD1" s="3" t="s">
        <v>55</v>
      </c>
      <c r="BE1" s="3" t="s">
        <v>56</v>
      </c>
      <c r="BF1" s="3" t="s">
        <v>57</v>
      </c>
      <c r="BG1" s="3" t="s">
        <v>58</v>
      </c>
      <c r="BH1" s="3" t="s">
        <v>59</v>
      </c>
      <c r="BI1" s="3" t="s">
        <v>60</v>
      </c>
      <c r="BJ1" s="3" t="s">
        <v>61</v>
      </c>
      <c r="BK1" s="3" t="s">
        <v>62</v>
      </c>
      <c r="BL1" s="3" t="s">
        <v>63</v>
      </c>
      <c r="BM1" s="3" t="s">
        <v>64</v>
      </c>
      <c r="BN1" s="3" t="s">
        <v>65</v>
      </c>
      <c r="BO1" s="3" t="s">
        <v>66</v>
      </c>
      <c r="BP1" s="3" t="s">
        <v>323</v>
      </c>
      <c r="BQ1" s="3" t="s">
        <v>324</v>
      </c>
      <c r="BR1" s="3" t="s">
        <v>325</v>
      </c>
      <c r="BS1" s="3" t="s">
        <v>326</v>
      </c>
      <c r="BT1" s="3" t="s">
        <v>327</v>
      </c>
      <c r="BU1" s="3" t="s">
        <v>328</v>
      </c>
      <c r="BV1" s="3" t="s">
        <v>329</v>
      </c>
      <c r="BW1" s="3" t="s">
        <v>330</v>
      </c>
      <c r="BX1" s="3" t="s">
        <v>331</v>
      </c>
      <c r="BY1" s="3" t="s">
        <v>332</v>
      </c>
      <c r="BZ1" s="3" t="s">
        <v>333</v>
      </c>
      <c r="CA1" s="3" t="s">
        <v>334</v>
      </c>
    </row>
    <row r="2" spans="1:79" x14ac:dyDescent="0.25">
      <c r="A2" t="s">
        <v>67</v>
      </c>
      <c r="B2">
        <f>HYPERLINK("data/charts/UNH.png", "Open")</f>
        <v>0</v>
      </c>
      <c r="C2" t="s">
        <v>279</v>
      </c>
      <c r="D2">
        <v>304.01</v>
      </c>
      <c r="E2">
        <v>-51.8</v>
      </c>
      <c r="F2">
        <v>29.59</v>
      </c>
      <c r="G2">
        <v>-31.64</v>
      </c>
      <c r="H2">
        <v>444.73</v>
      </c>
      <c r="I2">
        <v>-0.332</v>
      </c>
      <c r="J2" t="b">
        <v>0</v>
      </c>
      <c r="K2">
        <v>288.65</v>
      </c>
      <c r="L2">
        <v>265.53</v>
      </c>
      <c r="M2">
        <v>270.35</v>
      </c>
      <c r="N2">
        <v>293.47</v>
      </c>
      <c r="O2" t="b">
        <v>1</v>
      </c>
      <c r="P2" t="b">
        <v>1</v>
      </c>
      <c r="Q2" t="b">
        <v>1</v>
      </c>
      <c r="R2">
        <v>64.20999999999999</v>
      </c>
      <c r="S2" t="b">
        <v>0</v>
      </c>
      <c r="T2" t="b">
        <v>0</v>
      </c>
      <c r="U2">
        <v>-5.4027</v>
      </c>
      <c r="V2">
        <v>-11.3622</v>
      </c>
      <c r="W2" t="b">
        <v>1</v>
      </c>
      <c r="X2" t="b">
        <v>1</v>
      </c>
      <c r="Y2">
        <v>67987200</v>
      </c>
      <c r="Z2">
        <v>21935570</v>
      </c>
      <c r="AA2" t="b">
        <v>1</v>
      </c>
      <c r="AB2">
        <v>265.53</v>
      </c>
      <c r="AC2">
        <v>302.18</v>
      </c>
      <c r="AD2">
        <v>228.87</v>
      </c>
      <c r="AE2">
        <v>1.025</v>
      </c>
      <c r="AF2">
        <v>0.276</v>
      </c>
      <c r="AG2">
        <v>310.3</v>
      </c>
      <c r="AH2">
        <v>234.6</v>
      </c>
      <c r="AI2" t="b">
        <v>1</v>
      </c>
      <c r="AJ2">
        <v>9.981999999999999</v>
      </c>
      <c r="AK2">
        <v>289.04</v>
      </c>
      <c r="AL2">
        <v>239.5</v>
      </c>
      <c r="AM2">
        <v>228.87</v>
      </c>
      <c r="AN2">
        <v>270.57</v>
      </c>
      <c r="AO2">
        <v>289.04</v>
      </c>
      <c r="AP2" t="s">
        <v>280</v>
      </c>
      <c r="AQ2">
        <v>270.57</v>
      </c>
      <c r="AR2">
        <v>334.41</v>
      </c>
      <c r="AS2">
        <v>0.05</v>
      </c>
      <c r="AT2">
        <v>0.07000000000000001</v>
      </c>
      <c r="AU2">
        <v>60</v>
      </c>
      <c r="AV2">
        <v>0.9090903515711589</v>
      </c>
      <c r="AW2">
        <v>7</v>
      </c>
      <c r="AX2">
        <v>8.25</v>
      </c>
      <c r="AY2">
        <v>29</v>
      </c>
      <c r="AZ2">
        <v>1000</v>
      </c>
      <c r="BA2">
        <v>15000</v>
      </c>
      <c r="BD2">
        <v>13.16</v>
      </c>
      <c r="BE2">
        <v>10.17</v>
      </c>
      <c r="BF2">
        <v>2.91</v>
      </c>
      <c r="BG2">
        <v>0.37</v>
      </c>
      <c r="BH2">
        <v>0.76</v>
      </c>
      <c r="BI2">
        <v>1.86</v>
      </c>
      <c r="BJ2">
        <v>-45.57</v>
      </c>
      <c r="BK2">
        <v>3.05</v>
      </c>
      <c r="BM2">
        <v>-0.6899999999999999</v>
      </c>
      <c r="BN2" t="s">
        <v>283</v>
      </c>
      <c r="BO2" t="b">
        <v>0</v>
      </c>
      <c r="BP2" s="1">
        <f>IFERROR(RANK.EQ(AX2,AX$2:AX$213,0),"")</f>
        <v>0</v>
      </c>
      <c r="BQ2">
        <f>IFERROR(Y2/Z2,"")</f>
        <v>0</v>
      </c>
      <c r="BR2">
        <f>IFERROR(U2-V2,"")</f>
        <v>0</v>
      </c>
      <c r="BS2">
        <f>IFERROR(U2&gt;V2,"")</f>
        <v>0</v>
      </c>
      <c r="BT2">
        <f>IF(AND(ISNUMBER(D2),ISNUMBER(H2),D2&gt;=H2), OR(O2=TRUE,P2=TRUE), FALSE)</f>
        <v>0</v>
      </c>
      <c r="BU2">
        <f>AND(ISNUMBER(R2), R2&gt;=45, R2&lt;=60, W2=TRUE, E2&gt;=-20)</f>
        <v>0</v>
      </c>
      <c r="BV2">
        <f>OR(AI2=TRUE,AA2=TRUE)</f>
        <v>0</v>
      </c>
      <c r="BW2">
        <f>IFERROR( (AR2-D2) / MAX(D2-AQ2,1E-9) ,"")</f>
        <v>0</v>
      </c>
      <c r="BX2">
        <f>IFERROR(BW2&gt;=2, FALSE)</f>
        <v>0</v>
      </c>
      <c r="BY2" s="1">
        <f>IFERROR(ROUNDDOWN(MIN(IF(BA2&gt;0, BA2/D2, 1E99),IF(AZ2&gt;0, AZ2/MAX(D2-AQ2,1E-9), 1E99)),0),"")</f>
        <v>0</v>
      </c>
      <c r="BZ2" s="2">
        <f>IF(AND(ISNUMBER(D2),ISNUMBER(AT2)), D2*(1-AT2), "")</f>
        <v>0</v>
      </c>
      <c r="CA2">
        <f>AND(BT2=TRUE,BU2=TRUE,BV2=TRUE,BX2=TRUE)</f>
        <v>0</v>
      </c>
    </row>
    <row r="3" spans="1:79" x14ac:dyDescent="0.25">
      <c r="A3" t="s">
        <v>68</v>
      </c>
      <c r="B3">
        <f>HYPERLINK("data/charts/EMP-A_TO.png", "Open")</f>
        <v>0</v>
      </c>
      <c r="C3" t="s">
        <v>279</v>
      </c>
      <c r="D3">
        <v>57.06</v>
      </c>
      <c r="E3">
        <v>-0.09</v>
      </c>
      <c r="F3">
        <v>53.18</v>
      </c>
      <c r="G3">
        <v>19.57</v>
      </c>
      <c r="H3">
        <v>47.72</v>
      </c>
      <c r="I3">
        <v>0.163</v>
      </c>
      <c r="J3" t="b">
        <v>1</v>
      </c>
      <c r="K3">
        <v>54.98</v>
      </c>
      <c r="L3">
        <v>55.67</v>
      </c>
      <c r="M3">
        <v>55.77</v>
      </c>
      <c r="N3">
        <v>54.72</v>
      </c>
      <c r="O3" t="b">
        <v>1</v>
      </c>
      <c r="P3" t="b">
        <v>1</v>
      </c>
      <c r="Q3" t="b">
        <v>1</v>
      </c>
      <c r="R3">
        <v>64.2</v>
      </c>
      <c r="S3" t="b">
        <v>0</v>
      </c>
      <c r="T3" t="b">
        <v>0</v>
      </c>
      <c r="U3">
        <v>0.3565</v>
      </c>
      <c r="V3">
        <v>0.2691</v>
      </c>
      <c r="W3" t="b">
        <v>1</v>
      </c>
      <c r="X3" t="b">
        <v>1</v>
      </c>
      <c r="Y3">
        <v>458800</v>
      </c>
      <c r="Z3">
        <v>275670</v>
      </c>
      <c r="AA3" t="b">
        <v>1</v>
      </c>
      <c r="AB3">
        <v>55.67</v>
      </c>
      <c r="AC3">
        <v>56.72</v>
      </c>
      <c r="AD3">
        <v>54.61</v>
      </c>
      <c r="AE3">
        <v>1.159</v>
      </c>
      <c r="AF3">
        <v>0.038</v>
      </c>
      <c r="AG3">
        <v>57.11</v>
      </c>
      <c r="AH3">
        <v>54.04</v>
      </c>
      <c r="AI3" t="b">
        <v>1</v>
      </c>
      <c r="AJ3">
        <v>0.879</v>
      </c>
      <c r="AK3">
        <v>55.74</v>
      </c>
      <c r="AL3">
        <v>55</v>
      </c>
      <c r="AM3">
        <v>54.61</v>
      </c>
      <c r="AN3">
        <v>50.78</v>
      </c>
      <c r="AO3">
        <v>55.74</v>
      </c>
      <c r="AP3" t="s">
        <v>280</v>
      </c>
      <c r="AQ3">
        <v>50.78</v>
      </c>
      <c r="AR3">
        <v>62.77</v>
      </c>
      <c r="AS3">
        <v>0.05</v>
      </c>
      <c r="AT3">
        <v>0.07000000000000001</v>
      </c>
      <c r="AU3">
        <v>60</v>
      </c>
      <c r="AV3">
        <v>0.9092352512841381</v>
      </c>
      <c r="AW3">
        <v>6</v>
      </c>
      <c r="AX3">
        <v>8</v>
      </c>
      <c r="AY3">
        <v>159</v>
      </c>
      <c r="AZ3">
        <v>1000</v>
      </c>
      <c r="BA3">
        <v>15000</v>
      </c>
      <c r="BD3">
        <v>19.47</v>
      </c>
      <c r="BE3">
        <v>17.56</v>
      </c>
      <c r="BF3">
        <v>1.54</v>
      </c>
      <c r="BG3">
        <v>0.27</v>
      </c>
      <c r="BH3">
        <v>1.35</v>
      </c>
      <c r="BI3">
        <v>-1.14</v>
      </c>
      <c r="BJ3">
        <v>19.35</v>
      </c>
      <c r="BK3">
        <v>2.26</v>
      </c>
      <c r="BM3">
        <v>1.26</v>
      </c>
      <c r="BN3" t="s">
        <v>284</v>
      </c>
      <c r="BO3" t="b">
        <v>0</v>
      </c>
      <c r="BP3" s="1">
        <f>IFERROR(RANK.EQ(AX3,AX$2:AX$213,0),"")</f>
        <v>0</v>
      </c>
      <c r="BQ3">
        <f>IFERROR(Y3/Z3,"")</f>
        <v>0</v>
      </c>
      <c r="BR3">
        <f>IFERROR(U3-V3,"")</f>
        <v>0</v>
      </c>
      <c r="BS3">
        <f>IFERROR(U3&gt;V3,"")</f>
        <v>0</v>
      </c>
      <c r="BT3">
        <f>IF(AND(ISNUMBER(D3),ISNUMBER(H3),D3&gt;=H3), OR(O3=TRUE,P3=TRUE), FALSE)</f>
        <v>0</v>
      </c>
      <c r="BU3">
        <f>AND(ISNUMBER(R3), R3&gt;=45, R3&lt;=60, W3=TRUE, E3&gt;=-20)</f>
        <v>0</v>
      </c>
      <c r="BV3">
        <f>OR(AI3=TRUE,AA3=TRUE)</f>
        <v>0</v>
      </c>
      <c r="BW3">
        <f>IFERROR( (AR3-D3) / MAX(D3-AQ3,1E-9) ,"")</f>
        <v>0</v>
      </c>
      <c r="BX3">
        <f>IFERROR(BW3&gt;=2, FALSE)</f>
        <v>0</v>
      </c>
      <c r="BY3" s="1">
        <f>IFERROR(ROUNDDOWN(MIN(IF(BA3&gt;0, BA3/D3, 1E99),IF(AZ3&gt;0, AZ3/MAX(D3-AQ3,1E-9), 1E99)),0),"")</f>
        <v>0</v>
      </c>
      <c r="BZ3" s="2">
        <f>IF(AND(ISNUMBER(D3),ISNUMBER(AT3)), D3*(1-AT3), "")</f>
        <v>0</v>
      </c>
      <c r="CA3">
        <f>AND(BT3=TRUE,BU3=TRUE,BV3=TRUE,BX3=TRUE)</f>
        <v>0</v>
      </c>
    </row>
    <row r="4" spans="1:79" x14ac:dyDescent="0.25">
      <c r="A4" t="s">
        <v>69</v>
      </c>
      <c r="B4">
        <f>HYPERLINK("data/charts/FSLR.png", "Open")</f>
        <v>0</v>
      </c>
      <c r="C4" t="s">
        <v>279</v>
      </c>
      <c r="D4">
        <v>199.95</v>
      </c>
      <c r="E4">
        <v>-23.89</v>
      </c>
      <c r="F4">
        <v>71.54000000000001</v>
      </c>
      <c r="G4">
        <v>20.87</v>
      </c>
      <c r="H4">
        <v>165.43</v>
      </c>
      <c r="I4">
        <v>-0.1751</v>
      </c>
      <c r="J4" t="b">
        <v>0</v>
      </c>
      <c r="K4">
        <v>171.27</v>
      </c>
      <c r="L4">
        <v>183.23</v>
      </c>
      <c r="M4">
        <v>181.91</v>
      </c>
      <c r="N4">
        <v>173.18</v>
      </c>
      <c r="O4" t="b">
        <v>1</v>
      </c>
      <c r="P4" t="b">
        <v>1</v>
      </c>
      <c r="Q4" t="b">
        <v>1</v>
      </c>
      <c r="R4">
        <v>67.53</v>
      </c>
      <c r="S4" t="b">
        <v>0</v>
      </c>
      <c r="T4" t="b">
        <v>0</v>
      </c>
      <c r="U4">
        <v>4.9895</v>
      </c>
      <c r="V4">
        <v>4.7526</v>
      </c>
      <c r="W4" t="b">
        <v>1</v>
      </c>
      <c r="X4" t="b">
        <v>1</v>
      </c>
      <c r="Y4">
        <v>10928300</v>
      </c>
      <c r="Z4">
        <v>2809535</v>
      </c>
      <c r="AA4" t="b">
        <v>1</v>
      </c>
      <c r="AB4">
        <v>183.23</v>
      </c>
      <c r="AC4">
        <v>192.91</v>
      </c>
      <c r="AD4">
        <v>173.55</v>
      </c>
      <c r="AE4">
        <v>1.364</v>
      </c>
      <c r="AF4">
        <v>0.106</v>
      </c>
      <c r="AG4">
        <v>206.6</v>
      </c>
      <c r="AH4">
        <v>171.99</v>
      </c>
      <c r="AI4" t="b">
        <v>1</v>
      </c>
      <c r="AJ4">
        <v>8.083</v>
      </c>
      <c r="AK4">
        <v>187.83</v>
      </c>
      <c r="AL4">
        <v>181.52</v>
      </c>
      <c r="AM4">
        <v>173.55</v>
      </c>
      <c r="AN4">
        <v>177.96</v>
      </c>
      <c r="AO4">
        <v>187.83</v>
      </c>
      <c r="AP4" t="s">
        <v>280</v>
      </c>
      <c r="AQ4">
        <v>177.96</v>
      </c>
      <c r="AR4">
        <v>219.94</v>
      </c>
      <c r="AS4">
        <v>0.05</v>
      </c>
      <c r="AT4">
        <v>0.07000000000000001</v>
      </c>
      <c r="AU4">
        <v>60</v>
      </c>
      <c r="AV4">
        <v>0.9090498329221349</v>
      </c>
      <c r="AW4">
        <v>6</v>
      </c>
      <c r="AX4">
        <v>8</v>
      </c>
      <c r="AY4">
        <v>45</v>
      </c>
      <c r="AZ4">
        <v>1000</v>
      </c>
      <c r="BA4">
        <v>15000</v>
      </c>
      <c r="BD4">
        <v>17.09</v>
      </c>
      <c r="BE4">
        <v>9.59</v>
      </c>
      <c r="BG4">
        <v>0</v>
      </c>
      <c r="BH4">
        <v>0.12</v>
      </c>
      <c r="BI4">
        <v>29.91</v>
      </c>
      <c r="BJ4">
        <v>63.16</v>
      </c>
      <c r="BK4">
        <v>31.16</v>
      </c>
      <c r="BM4">
        <v>-8.140000000000001</v>
      </c>
      <c r="BN4" t="s">
        <v>285</v>
      </c>
      <c r="BO4" t="b">
        <v>0</v>
      </c>
      <c r="BP4" s="1">
        <f>IFERROR(RANK.EQ(AX4,AX$2:AX$213,0),"")</f>
        <v>0</v>
      </c>
      <c r="BQ4">
        <f>IFERROR(Y4/Z4,"")</f>
        <v>0</v>
      </c>
      <c r="BR4">
        <f>IFERROR(U4-V4,"")</f>
        <v>0</v>
      </c>
      <c r="BS4">
        <f>IFERROR(U4&gt;V4,"")</f>
        <v>0</v>
      </c>
      <c r="BT4">
        <f>IF(AND(ISNUMBER(D4),ISNUMBER(H4),D4&gt;=H4), OR(O4=TRUE,P4=TRUE), FALSE)</f>
        <v>0</v>
      </c>
      <c r="BU4">
        <f>AND(ISNUMBER(R4), R4&gt;=45, R4&lt;=60, W4=TRUE, E4&gt;=-20)</f>
        <v>0</v>
      </c>
      <c r="BV4">
        <f>OR(AI4=TRUE,AA4=TRUE)</f>
        <v>0</v>
      </c>
      <c r="BW4">
        <f>IFERROR( (AR4-D4) / MAX(D4-AQ4,1E-9) ,"")</f>
        <v>0</v>
      </c>
      <c r="BX4">
        <f>IFERROR(BW4&gt;=2, FALSE)</f>
        <v>0</v>
      </c>
      <c r="BY4" s="1">
        <f>IFERROR(ROUNDDOWN(MIN(IF(BA4&gt;0, BA4/D4, 1E99),IF(AZ4&gt;0, AZ4/MAX(D4-AQ4,1E-9), 1E99)),0),"")</f>
        <v>0</v>
      </c>
      <c r="BZ4" s="2">
        <f>IF(AND(ISNUMBER(D4),ISNUMBER(AT4)), D4*(1-AT4), "")</f>
        <v>0</v>
      </c>
      <c r="CA4">
        <f>AND(BT4=TRUE,BU4=TRUE,BV4=TRUE,BX4=TRUE)</f>
        <v>0</v>
      </c>
    </row>
    <row r="5" spans="1:79" x14ac:dyDescent="0.25">
      <c r="A5" t="s">
        <v>70</v>
      </c>
      <c r="B5">
        <f>HYPERLINK("data/charts/NEE.png", "Open")</f>
        <v>0</v>
      </c>
      <c r="C5" t="s">
        <v>279</v>
      </c>
      <c r="D5">
        <v>75.41</v>
      </c>
      <c r="E5">
        <v>-12.42</v>
      </c>
      <c r="F5">
        <v>22.18</v>
      </c>
      <c r="G5">
        <v>5.12</v>
      </c>
      <c r="H5">
        <v>71.73999999999999</v>
      </c>
      <c r="I5">
        <v>-0.0689</v>
      </c>
      <c r="J5" t="b">
        <v>0</v>
      </c>
      <c r="K5">
        <v>72.70999999999999</v>
      </c>
      <c r="L5">
        <v>72.38</v>
      </c>
      <c r="M5">
        <v>72.53</v>
      </c>
      <c r="N5">
        <v>72.23999999999999</v>
      </c>
      <c r="O5" t="b">
        <v>1</v>
      </c>
      <c r="P5" t="b">
        <v>1</v>
      </c>
      <c r="Q5" t="b">
        <v>1</v>
      </c>
      <c r="R5">
        <v>62.71</v>
      </c>
      <c r="S5" t="b">
        <v>0</v>
      </c>
      <c r="T5" t="b">
        <v>0</v>
      </c>
      <c r="U5">
        <v>0.0546</v>
      </c>
      <c r="V5">
        <v>-0.2076</v>
      </c>
      <c r="W5" t="b">
        <v>1</v>
      </c>
      <c r="X5" t="b">
        <v>0</v>
      </c>
      <c r="Y5">
        <v>23397000</v>
      </c>
      <c r="Z5">
        <v>9291550</v>
      </c>
      <c r="AA5" t="b">
        <v>1</v>
      </c>
      <c r="AB5">
        <v>72.38</v>
      </c>
      <c r="AC5">
        <v>76.06999999999999</v>
      </c>
      <c r="AD5">
        <v>68.68000000000001</v>
      </c>
      <c r="AE5">
        <v>0.91</v>
      </c>
      <c r="AF5">
        <v>0.102</v>
      </c>
      <c r="AG5">
        <v>78.45999999999999</v>
      </c>
      <c r="AH5">
        <v>69.69</v>
      </c>
      <c r="AI5" t="b">
        <v>0</v>
      </c>
      <c r="AJ5">
        <v>1.579</v>
      </c>
      <c r="AK5">
        <v>73.04000000000001</v>
      </c>
      <c r="AL5">
        <v>69.69</v>
      </c>
      <c r="AM5">
        <v>68.68000000000001</v>
      </c>
      <c r="AN5">
        <v>67.11</v>
      </c>
      <c r="AO5">
        <v>73.04000000000001</v>
      </c>
      <c r="AP5" t="s">
        <v>280</v>
      </c>
      <c r="AQ5">
        <v>67.11</v>
      </c>
      <c r="AR5">
        <v>82.95</v>
      </c>
      <c r="AS5">
        <v>0.05</v>
      </c>
      <c r="AT5">
        <v>0.07000000000000001</v>
      </c>
      <c r="AU5">
        <v>60</v>
      </c>
      <c r="AV5">
        <v>0.9084328929048209</v>
      </c>
      <c r="AW5">
        <v>5</v>
      </c>
      <c r="AX5">
        <v>7.75</v>
      </c>
      <c r="AY5">
        <v>120</v>
      </c>
      <c r="AZ5">
        <v>1000</v>
      </c>
      <c r="BA5">
        <v>15000</v>
      </c>
      <c r="BD5">
        <v>26.28</v>
      </c>
      <c r="BE5">
        <v>20.49</v>
      </c>
      <c r="BF5">
        <v>3</v>
      </c>
      <c r="BG5">
        <v>0.75</v>
      </c>
      <c r="BH5">
        <v>1.53</v>
      </c>
      <c r="BI5">
        <v>7.25</v>
      </c>
      <c r="BJ5">
        <v>141.46</v>
      </c>
      <c r="BK5">
        <v>30.27</v>
      </c>
      <c r="BM5">
        <v>1.05</v>
      </c>
      <c r="BN5" t="s">
        <v>286</v>
      </c>
      <c r="BO5" t="b">
        <v>0</v>
      </c>
      <c r="BP5" s="1">
        <f>IFERROR(RANK.EQ(AX5,AX$2:AX$213,0),"")</f>
        <v>0</v>
      </c>
      <c r="BQ5">
        <f>IFERROR(Y5/Z5,"")</f>
        <v>0</v>
      </c>
      <c r="BR5">
        <f>IFERROR(U5-V5,"")</f>
        <v>0</v>
      </c>
      <c r="BS5">
        <f>IFERROR(U5&gt;V5,"")</f>
        <v>0</v>
      </c>
      <c r="BT5">
        <f>IF(AND(ISNUMBER(D5),ISNUMBER(H5),D5&gt;=H5), OR(O5=TRUE,P5=TRUE), FALSE)</f>
        <v>0</v>
      </c>
      <c r="BU5">
        <f>AND(ISNUMBER(R5), R5&gt;=45, R5&lt;=60, W5=TRUE, E5&gt;=-20)</f>
        <v>0</v>
      </c>
      <c r="BV5">
        <f>OR(AI5=TRUE,AA5=TRUE)</f>
        <v>0</v>
      </c>
      <c r="BW5">
        <f>IFERROR( (AR5-D5) / MAX(D5-AQ5,1E-9) ,"")</f>
        <v>0</v>
      </c>
      <c r="BX5">
        <f>IFERROR(BW5&gt;=2, FALSE)</f>
        <v>0</v>
      </c>
      <c r="BY5" s="1">
        <f>IFERROR(ROUNDDOWN(MIN(IF(BA5&gt;0, BA5/D5, 1E99),IF(AZ5&gt;0, AZ5/MAX(D5-AQ5,1E-9), 1E99)),0),"")</f>
        <v>0</v>
      </c>
      <c r="BZ5" s="2">
        <f>IF(AND(ISNUMBER(D5),ISNUMBER(AT5)), D5*(1-AT5), "")</f>
        <v>0</v>
      </c>
      <c r="CA5">
        <f>AND(BT5=TRUE,BU5=TRUE,BV5=TRUE,BX5=TRUE)</f>
        <v>0</v>
      </c>
    </row>
    <row r="6" spans="1:79" x14ac:dyDescent="0.25">
      <c r="A6" t="s">
        <v>71</v>
      </c>
      <c r="B6">
        <f>HYPERLINK("data/charts/BIIB.png", "Open")</f>
        <v>0</v>
      </c>
      <c r="C6" t="s">
        <v>279</v>
      </c>
      <c r="D6">
        <v>138.6</v>
      </c>
      <c r="E6">
        <v>-33.23</v>
      </c>
      <c r="F6">
        <v>25.95</v>
      </c>
      <c r="G6">
        <v>-0.51</v>
      </c>
      <c r="H6">
        <v>139.31</v>
      </c>
      <c r="I6">
        <v>-0.2343</v>
      </c>
      <c r="J6" t="b">
        <v>0</v>
      </c>
      <c r="K6">
        <v>130.22</v>
      </c>
      <c r="L6">
        <v>130.39</v>
      </c>
      <c r="M6">
        <v>131.24</v>
      </c>
      <c r="N6">
        <v>130.18</v>
      </c>
      <c r="O6" t="b">
        <v>1</v>
      </c>
      <c r="P6" t="b">
        <v>1</v>
      </c>
      <c r="Q6" t="b">
        <v>1</v>
      </c>
      <c r="R6">
        <v>62.97</v>
      </c>
      <c r="S6" t="b">
        <v>0</v>
      </c>
      <c r="T6" t="b">
        <v>0</v>
      </c>
      <c r="U6">
        <v>1.2983</v>
      </c>
      <c r="V6">
        <v>0.4784</v>
      </c>
      <c r="W6" t="b">
        <v>1</v>
      </c>
      <c r="X6" t="b">
        <v>1</v>
      </c>
      <c r="Y6">
        <v>1643800</v>
      </c>
      <c r="Z6">
        <v>1531495</v>
      </c>
      <c r="AA6" t="b">
        <v>0</v>
      </c>
      <c r="AB6">
        <v>130.39</v>
      </c>
      <c r="AC6">
        <v>137.3</v>
      </c>
      <c r="AD6">
        <v>123.49</v>
      </c>
      <c r="AE6">
        <v>1.094</v>
      </c>
      <c r="AF6">
        <v>0.106</v>
      </c>
      <c r="AG6">
        <v>138.83</v>
      </c>
      <c r="AH6">
        <v>121.05</v>
      </c>
      <c r="AI6" t="b">
        <v>1</v>
      </c>
      <c r="AJ6">
        <v>4.294</v>
      </c>
      <c r="AK6">
        <v>132.16</v>
      </c>
      <c r="AL6">
        <v>127</v>
      </c>
      <c r="AM6">
        <v>123.49</v>
      </c>
      <c r="AN6">
        <v>123.35</v>
      </c>
      <c r="AO6">
        <v>132.16</v>
      </c>
      <c r="AP6" t="s">
        <v>280</v>
      </c>
      <c r="AQ6">
        <v>123.35</v>
      </c>
      <c r="AR6">
        <v>152.46</v>
      </c>
      <c r="AS6">
        <v>0.05</v>
      </c>
      <c r="AT6">
        <v>0.07000000000000001</v>
      </c>
      <c r="AU6">
        <v>60</v>
      </c>
      <c r="AV6">
        <v>0.9088516950356628</v>
      </c>
      <c r="AW6">
        <v>5</v>
      </c>
      <c r="AX6">
        <v>7.5</v>
      </c>
      <c r="AY6">
        <v>65</v>
      </c>
      <c r="AZ6">
        <v>1000</v>
      </c>
      <c r="BA6">
        <v>15000</v>
      </c>
      <c r="BD6">
        <v>13.26</v>
      </c>
      <c r="BE6">
        <v>8.32</v>
      </c>
      <c r="BG6">
        <v>0</v>
      </c>
      <c r="BH6">
        <v>0.37</v>
      </c>
      <c r="BI6">
        <v>8.82</v>
      </c>
      <c r="BJ6">
        <v>163.95</v>
      </c>
      <c r="BK6">
        <v>24</v>
      </c>
      <c r="BM6">
        <v>1.51</v>
      </c>
      <c r="BN6" t="s">
        <v>286</v>
      </c>
      <c r="BO6" t="b">
        <v>0</v>
      </c>
      <c r="BP6" s="1">
        <f>IFERROR(RANK.EQ(AX6,AX$2:AX$213,0),"")</f>
        <v>0</v>
      </c>
      <c r="BQ6">
        <f>IFERROR(Y6/Z6,"")</f>
        <v>0</v>
      </c>
      <c r="BR6">
        <f>IFERROR(U6-V6,"")</f>
        <v>0</v>
      </c>
      <c r="BS6">
        <f>IFERROR(U6&gt;V6,"")</f>
        <v>0</v>
      </c>
      <c r="BT6">
        <f>IF(AND(ISNUMBER(D6),ISNUMBER(H6),D6&gt;=H6), OR(O6=TRUE,P6=TRUE), FALSE)</f>
        <v>0</v>
      </c>
      <c r="BU6">
        <f>AND(ISNUMBER(R6), R6&gt;=45, R6&lt;=60, W6=TRUE, E6&gt;=-20)</f>
        <v>0</v>
      </c>
      <c r="BV6">
        <f>OR(AI6=TRUE,AA6=TRUE)</f>
        <v>0</v>
      </c>
      <c r="BW6">
        <f>IFERROR( (AR6-D6) / MAX(D6-AQ6,1E-9) ,"")</f>
        <v>0</v>
      </c>
      <c r="BX6">
        <f>IFERROR(BW6&gt;=2, FALSE)</f>
        <v>0</v>
      </c>
      <c r="BY6" s="1">
        <f>IFERROR(ROUNDDOWN(MIN(IF(BA6&gt;0, BA6/D6, 1E99),IF(AZ6&gt;0, AZ6/MAX(D6-AQ6,1E-9), 1E99)),0),"")</f>
        <v>0</v>
      </c>
      <c r="BZ6" s="2">
        <f>IF(AND(ISNUMBER(D6),ISNUMBER(AT6)), D6*(1-AT6), "")</f>
        <v>0</v>
      </c>
      <c r="CA6">
        <f>AND(BT6=TRUE,BU6=TRUE,BV6=TRUE,BX6=TRUE)</f>
        <v>0</v>
      </c>
    </row>
    <row r="7" spans="1:79" x14ac:dyDescent="0.25">
      <c r="A7" t="s">
        <v>72</v>
      </c>
      <c r="B7">
        <f>HYPERLINK("data/charts/GRT-UN_TO.png", "Open")</f>
        <v>0</v>
      </c>
      <c r="C7" t="s">
        <v>279</v>
      </c>
      <c r="D7">
        <v>79.25</v>
      </c>
      <c r="E7">
        <v>-4.38</v>
      </c>
      <c r="F7">
        <v>43.44</v>
      </c>
      <c r="G7">
        <v>13.8</v>
      </c>
      <c r="H7">
        <v>69.64</v>
      </c>
      <c r="I7">
        <v>-0.0532</v>
      </c>
      <c r="J7" t="b">
        <v>0</v>
      </c>
      <c r="K7">
        <v>72.13</v>
      </c>
      <c r="L7">
        <v>74.8</v>
      </c>
      <c r="M7">
        <v>75.13</v>
      </c>
      <c r="N7">
        <v>72.56999999999999</v>
      </c>
      <c r="O7" t="b">
        <v>1</v>
      </c>
      <c r="P7" t="b">
        <v>1</v>
      </c>
      <c r="Q7" t="b">
        <v>1</v>
      </c>
      <c r="R7">
        <v>79.43000000000001</v>
      </c>
      <c r="S7" t="b">
        <v>0</v>
      </c>
      <c r="T7" t="b">
        <v>0</v>
      </c>
      <c r="U7">
        <v>1.8711</v>
      </c>
      <c r="V7">
        <v>1.4803</v>
      </c>
      <c r="W7" t="b">
        <v>0</v>
      </c>
      <c r="X7" t="b">
        <v>1</v>
      </c>
      <c r="Y7">
        <v>129400</v>
      </c>
      <c r="Z7">
        <v>80085</v>
      </c>
      <c r="AA7" t="b">
        <v>1</v>
      </c>
      <c r="AB7">
        <v>74.8</v>
      </c>
      <c r="AC7">
        <v>78.98999999999999</v>
      </c>
      <c r="AD7">
        <v>70.62</v>
      </c>
      <c r="AE7">
        <v>1.031</v>
      </c>
      <c r="AF7">
        <v>0.112</v>
      </c>
      <c r="AG7">
        <v>79.75</v>
      </c>
      <c r="AH7">
        <v>71.12</v>
      </c>
      <c r="AI7" t="b">
        <v>1</v>
      </c>
      <c r="AJ7">
        <v>1.538</v>
      </c>
      <c r="AK7">
        <v>76.94</v>
      </c>
      <c r="AL7">
        <v>72.20999999999999</v>
      </c>
      <c r="AM7">
        <v>70.62</v>
      </c>
      <c r="AN7">
        <v>70.53</v>
      </c>
      <c r="AO7">
        <v>76.94</v>
      </c>
      <c r="AP7" t="s">
        <v>280</v>
      </c>
      <c r="AQ7">
        <v>70.53</v>
      </c>
      <c r="AR7">
        <v>87.18000000000001</v>
      </c>
      <c r="AS7">
        <v>0.05</v>
      </c>
      <c r="AT7">
        <v>0.07000000000000001</v>
      </c>
      <c r="AU7">
        <v>60</v>
      </c>
      <c r="AV7">
        <v>0.9094036697247715</v>
      </c>
      <c r="AW7">
        <v>5</v>
      </c>
      <c r="AX7">
        <v>7.5</v>
      </c>
      <c r="AY7">
        <v>114</v>
      </c>
      <c r="AZ7">
        <v>1000</v>
      </c>
      <c r="BA7">
        <v>15000</v>
      </c>
      <c r="BD7">
        <v>14.7</v>
      </c>
      <c r="BE7">
        <v>14.03</v>
      </c>
      <c r="BF7">
        <v>4.29</v>
      </c>
      <c r="BG7">
        <v>0.62</v>
      </c>
      <c r="BH7">
        <v>0.59</v>
      </c>
      <c r="BI7">
        <v>-3.49</v>
      </c>
      <c r="BJ7">
        <v>121.26</v>
      </c>
      <c r="BK7">
        <v>63.64</v>
      </c>
      <c r="BM7">
        <v>0.6</v>
      </c>
      <c r="BN7" t="s">
        <v>287</v>
      </c>
      <c r="BO7" t="b">
        <v>0</v>
      </c>
      <c r="BP7" s="1">
        <f>IFERROR(RANK.EQ(AX7,AX$2:AX$213,0),"")</f>
        <v>0</v>
      </c>
      <c r="BQ7">
        <f>IFERROR(Y7/Z7,"")</f>
        <v>0</v>
      </c>
      <c r="BR7">
        <f>IFERROR(U7-V7,"")</f>
        <v>0</v>
      </c>
      <c r="BS7">
        <f>IFERROR(U7&gt;V7,"")</f>
        <v>0</v>
      </c>
      <c r="BT7">
        <f>IF(AND(ISNUMBER(D7),ISNUMBER(H7),D7&gt;=H7), OR(O7=TRUE,P7=TRUE), FALSE)</f>
        <v>0</v>
      </c>
      <c r="BU7">
        <f>AND(ISNUMBER(R7), R7&gt;=45, R7&lt;=60, W7=TRUE, E7&gt;=-20)</f>
        <v>0</v>
      </c>
      <c r="BV7">
        <f>OR(AI7=TRUE,AA7=TRUE)</f>
        <v>0</v>
      </c>
      <c r="BW7">
        <f>IFERROR( (AR7-D7) / MAX(D7-AQ7,1E-9) ,"")</f>
        <v>0</v>
      </c>
      <c r="BX7">
        <f>IFERROR(BW7&gt;=2, FALSE)</f>
        <v>0</v>
      </c>
      <c r="BY7" s="1">
        <f>IFERROR(ROUNDDOWN(MIN(IF(BA7&gt;0, BA7/D7, 1E99),IF(AZ7&gt;0, AZ7/MAX(D7-AQ7,1E-9), 1E99)),0),"")</f>
        <v>0</v>
      </c>
      <c r="BZ7" s="2">
        <f>IF(AND(ISNUMBER(D7),ISNUMBER(AT7)), D7*(1-AT7), "")</f>
        <v>0</v>
      </c>
      <c r="CA7">
        <f>AND(BT7=TRUE,BU7=TRUE,BV7=TRUE,BX7=TRUE)</f>
        <v>0</v>
      </c>
    </row>
    <row r="8" spans="1:79" x14ac:dyDescent="0.25">
      <c r="A8" t="s">
        <v>73</v>
      </c>
      <c r="B8">
        <f>HYPERLINK("data/charts/MX_TO.png", "Open")</f>
        <v>0</v>
      </c>
      <c r="C8" t="s">
        <v>279</v>
      </c>
      <c r="D8">
        <v>47.47</v>
      </c>
      <c r="E8">
        <v>-39.28</v>
      </c>
      <c r="F8">
        <v>31.5</v>
      </c>
      <c r="G8">
        <v>-14</v>
      </c>
      <c r="H8">
        <v>55.2</v>
      </c>
      <c r="I8">
        <v>-0.08749999999999999</v>
      </c>
      <c r="J8" t="b">
        <v>0</v>
      </c>
      <c r="K8">
        <v>46.74</v>
      </c>
      <c r="L8">
        <v>46.16</v>
      </c>
      <c r="M8">
        <v>46.22</v>
      </c>
      <c r="N8">
        <v>46.52</v>
      </c>
      <c r="O8" t="b">
        <v>1</v>
      </c>
      <c r="P8" t="b">
        <v>1</v>
      </c>
      <c r="Q8" t="b">
        <v>1</v>
      </c>
      <c r="R8">
        <v>56.16</v>
      </c>
      <c r="S8" t="b">
        <v>0</v>
      </c>
      <c r="T8" t="b">
        <v>0</v>
      </c>
      <c r="U8">
        <v>-0.0363</v>
      </c>
      <c r="V8">
        <v>-0.2098</v>
      </c>
      <c r="W8" t="b">
        <v>1</v>
      </c>
      <c r="X8" t="b">
        <v>0</v>
      </c>
      <c r="Y8">
        <v>319000</v>
      </c>
      <c r="Z8">
        <v>208515</v>
      </c>
      <c r="AA8" t="b">
        <v>1</v>
      </c>
      <c r="AB8">
        <v>46.16</v>
      </c>
      <c r="AC8">
        <v>47.73</v>
      </c>
      <c r="AD8">
        <v>44.59</v>
      </c>
      <c r="AE8">
        <v>0.919</v>
      </c>
      <c r="AF8">
        <v>0.068</v>
      </c>
      <c r="AG8">
        <v>48.33</v>
      </c>
      <c r="AH8">
        <v>44.57</v>
      </c>
      <c r="AI8" t="b">
        <v>0</v>
      </c>
      <c r="AJ8">
        <v>1.369</v>
      </c>
      <c r="AK8">
        <v>45.42</v>
      </c>
      <c r="AL8">
        <v>44.57</v>
      </c>
      <c r="AM8">
        <v>44.59</v>
      </c>
      <c r="AN8">
        <v>42.25</v>
      </c>
      <c r="AO8">
        <v>45.42</v>
      </c>
      <c r="AP8" t="s">
        <v>280</v>
      </c>
      <c r="AQ8">
        <v>42.25</v>
      </c>
      <c r="AR8">
        <v>52.22</v>
      </c>
      <c r="AS8">
        <v>0.05</v>
      </c>
      <c r="AT8">
        <v>0.07000000000000001</v>
      </c>
      <c r="AU8">
        <v>60</v>
      </c>
      <c r="AV8">
        <v>0.9099612391770777</v>
      </c>
      <c r="AW8">
        <v>6</v>
      </c>
      <c r="AX8">
        <v>7.25</v>
      </c>
      <c r="AY8">
        <v>191</v>
      </c>
      <c r="AZ8">
        <v>1000</v>
      </c>
      <c r="BA8">
        <v>15000</v>
      </c>
      <c r="BD8">
        <v>9.93</v>
      </c>
      <c r="BE8">
        <v>8.02</v>
      </c>
      <c r="BF8">
        <v>2.13</v>
      </c>
      <c r="BG8">
        <v>0.21</v>
      </c>
      <c r="BH8">
        <v>1.29</v>
      </c>
      <c r="BI8">
        <v>-11.15</v>
      </c>
      <c r="BJ8">
        <v>-42.42</v>
      </c>
      <c r="BK8">
        <v>8.09</v>
      </c>
      <c r="BM8">
        <v>0.12</v>
      </c>
      <c r="BN8" t="s">
        <v>288</v>
      </c>
      <c r="BO8" t="b">
        <v>0</v>
      </c>
      <c r="BP8" s="1">
        <f>IFERROR(RANK.EQ(AX8,AX$2:AX$213,0),"")</f>
        <v>0</v>
      </c>
      <c r="BQ8">
        <f>IFERROR(Y8/Z8,"")</f>
        <v>0</v>
      </c>
      <c r="BR8">
        <f>IFERROR(U8-V8,"")</f>
        <v>0</v>
      </c>
      <c r="BS8">
        <f>IFERROR(U8&gt;V8,"")</f>
        <v>0</v>
      </c>
      <c r="BT8">
        <f>IF(AND(ISNUMBER(D8),ISNUMBER(H8),D8&gt;=H8), OR(O8=TRUE,P8=TRUE), FALSE)</f>
        <v>0</v>
      </c>
      <c r="BU8">
        <f>AND(ISNUMBER(R8), R8&gt;=45, R8&lt;=60, W8=TRUE, E8&gt;=-20)</f>
        <v>0</v>
      </c>
      <c r="BV8">
        <f>OR(AI8=TRUE,AA8=TRUE)</f>
        <v>0</v>
      </c>
      <c r="BW8">
        <f>IFERROR( (AR8-D8) / MAX(D8-AQ8,1E-9) ,"")</f>
        <v>0</v>
      </c>
      <c r="BX8">
        <f>IFERROR(BW8&gt;=2, FALSE)</f>
        <v>0</v>
      </c>
      <c r="BY8" s="1">
        <f>IFERROR(ROUNDDOWN(MIN(IF(BA8&gt;0, BA8/D8, 1E99),IF(AZ8&gt;0, AZ8/MAX(D8-AQ8,1E-9), 1E99)),0),"")</f>
        <v>0</v>
      </c>
      <c r="BZ8" s="2">
        <f>IF(AND(ISNUMBER(D8),ISNUMBER(AT8)), D8*(1-AT8), "")</f>
        <v>0</v>
      </c>
      <c r="CA8">
        <f>AND(BT8=TRUE,BU8=TRUE,BV8=TRUE,BX8=TRUE)</f>
        <v>0</v>
      </c>
    </row>
    <row r="9" spans="1:79" x14ac:dyDescent="0.25">
      <c r="A9" t="s">
        <v>74</v>
      </c>
      <c r="B9">
        <f>HYPERLINK("data/charts/REGN.png", "Open")</f>
        <v>0</v>
      </c>
      <c r="C9" t="s">
        <v>279</v>
      </c>
      <c r="D9">
        <v>580.41</v>
      </c>
      <c r="E9">
        <v>-52.08</v>
      </c>
      <c r="F9">
        <v>21.81</v>
      </c>
      <c r="G9">
        <v>-10.05</v>
      </c>
      <c r="H9">
        <v>645.23</v>
      </c>
      <c r="I9">
        <v>-0.421</v>
      </c>
      <c r="J9" t="b">
        <v>0</v>
      </c>
      <c r="K9">
        <v>542.61</v>
      </c>
      <c r="L9">
        <v>560.6</v>
      </c>
      <c r="M9">
        <v>559.1799999999999</v>
      </c>
      <c r="N9">
        <v>556.96</v>
      </c>
      <c r="O9" t="b">
        <v>1</v>
      </c>
      <c r="P9" t="b">
        <v>1</v>
      </c>
      <c r="Q9" t="b">
        <v>1</v>
      </c>
      <c r="R9">
        <v>60.8</v>
      </c>
      <c r="S9" t="b">
        <v>0</v>
      </c>
      <c r="T9" t="b">
        <v>0</v>
      </c>
      <c r="U9">
        <v>4.8648</v>
      </c>
      <c r="V9">
        <v>4.113</v>
      </c>
      <c r="W9" t="b">
        <v>1</v>
      </c>
      <c r="X9" t="b">
        <v>1</v>
      </c>
      <c r="Y9">
        <v>1121700</v>
      </c>
      <c r="Z9">
        <v>976455</v>
      </c>
      <c r="AA9" t="b">
        <v>0</v>
      </c>
      <c r="AB9">
        <v>560.6</v>
      </c>
      <c r="AC9">
        <v>578.28</v>
      </c>
      <c r="AD9">
        <v>542.92</v>
      </c>
      <c r="AE9">
        <v>1.06</v>
      </c>
      <c r="AF9">
        <v>0.063</v>
      </c>
      <c r="AG9">
        <v>583.28</v>
      </c>
      <c r="AH9">
        <v>541.61</v>
      </c>
      <c r="AI9" t="b">
        <v>0</v>
      </c>
      <c r="AJ9">
        <v>16.667</v>
      </c>
      <c r="AK9">
        <v>555.41</v>
      </c>
      <c r="AL9">
        <v>544.16</v>
      </c>
      <c r="AM9">
        <v>542.92</v>
      </c>
      <c r="AN9">
        <v>516.5599999999999</v>
      </c>
      <c r="AO9">
        <v>555.41</v>
      </c>
      <c r="AP9" t="s">
        <v>280</v>
      </c>
      <c r="AQ9">
        <v>516.5599999999999</v>
      </c>
      <c r="AR9">
        <v>638.45</v>
      </c>
      <c r="AS9">
        <v>0.05</v>
      </c>
      <c r="AT9">
        <v>0.07000000000000001</v>
      </c>
      <c r="AU9">
        <v>60</v>
      </c>
      <c r="AV9">
        <v>0.9090062845302836</v>
      </c>
      <c r="AW9">
        <v>5</v>
      </c>
      <c r="AX9">
        <v>7.25</v>
      </c>
      <c r="AY9">
        <v>15</v>
      </c>
      <c r="AZ9">
        <v>1000</v>
      </c>
      <c r="BA9">
        <v>15000</v>
      </c>
      <c r="BD9">
        <v>14.62</v>
      </c>
      <c r="BE9">
        <v>12.81</v>
      </c>
      <c r="BF9">
        <v>61</v>
      </c>
      <c r="BG9">
        <v>0.04</v>
      </c>
      <c r="BH9">
        <v>0.09</v>
      </c>
      <c r="BI9">
        <v>21.36</v>
      </c>
      <c r="BJ9">
        <v>72.08</v>
      </c>
      <c r="BK9">
        <v>37.86</v>
      </c>
      <c r="BM9">
        <v>-5.22</v>
      </c>
      <c r="BN9" t="s">
        <v>285</v>
      </c>
      <c r="BO9" t="b">
        <v>0</v>
      </c>
      <c r="BP9" s="1">
        <f>IFERROR(RANK.EQ(AX9,AX$2:AX$213,0),"")</f>
        <v>0</v>
      </c>
      <c r="BQ9">
        <f>IFERROR(Y9/Z9,"")</f>
        <v>0</v>
      </c>
      <c r="BR9">
        <f>IFERROR(U9-V9,"")</f>
        <v>0</v>
      </c>
      <c r="BS9">
        <f>IFERROR(U9&gt;V9,"")</f>
        <v>0</v>
      </c>
      <c r="BT9">
        <f>IF(AND(ISNUMBER(D9),ISNUMBER(H9),D9&gt;=H9), OR(O9=TRUE,P9=TRUE), FALSE)</f>
        <v>0</v>
      </c>
      <c r="BU9">
        <f>AND(ISNUMBER(R9), R9&gt;=45, R9&lt;=60, W9=TRUE, E9&gt;=-20)</f>
        <v>0</v>
      </c>
      <c r="BV9">
        <f>OR(AI9=TRUE,AA9=TRUE)</f>
        <v>0</v>
      </c>
      <c r="BW9">
        <f>IFERROR( (AR9-D9) / MAX(D9-AQ9,1E-9) ,"")</f>
        <v>0</v>
      </c>
      <c r="BX9">
        <f>IFERROR(BW9&gt;=2, FALSE)</f>
        <v>0</v>
      </c>
      <c r="BY9" s="1">
        <f>IFERROR(ROUNDDOWN(MIN(IF(BA9&gt;0, BA9/D9, 1E99),IF(AZ9&gt;0, AZ9/MAX(D9-AQ9,1E-9), 1E99)),0),"")</f>
        <v>0</v>
      </c>
      <c r="BZ9" s="2">
        <f>IF(AND(ISNUMBER(D9),ISNUMBER(AT9)), D9*(1-AT9), "")</f>
        <v>0</v>
      </c>
      <c r="CA9">
        <f>AND(BT9=TRUE,BU9=TRUE,BV9=TRUE,BX9=TRUE)</f>
        <v>0</v>
      </c>
    </row>
    <row r="10" spans="1:79" x14ac:dyDescent="0.25">
      <c r="A10" t="s">
        <v>75</v>
      </c>
      <c r="B10">
        <f>HYPERLINK("data/charts/INTC.png", "Open")</f>
        <v>0</v>
      </c>
      <c r="C10" t="s">
        <v>279</v>
      </c>
      <c r="D10">
        <v>24.56</v>
      </c>
      <c r="E10">
        <v>-10.85</v>
      </c>
      <c r="F10">
        <v>38.99</v>
      </c>
      <c r="G10">
        <v>13.35</v>
      </c>
      <c r="H10">
        <v>21.67</v>
      </c>
      <c r="I10">
        <v>0.008200000000000001</v>
      </c>
      <c r="J10" t="b">
        <v>1</v>
      </c>
      <c r="K10">
        <v>21.74</v>
      </c>
      <c r="L10">
        <v>21.34</v>
      </c>
      <c r="M10">
        <v>21.67</v>
      </c>
      <c r="N10">
        <v>21.6</v>
      </c>
      <c r="O10" t="b">
        <v>1</v>
      </c>
      <c r="P10" t="b">
        <v>1</v>
      </c>
      <c r="Q10" t="b">
        <v>1</v>
      </c>
      <c r="R10">
        <v>69.12</v>
      </c>
      <c r="S10" t="b">
        <v>0</v>
      </c>
      <c r="T10" t="b">
        <v>0</v>
      </c>
      <c r="U10">
        <v>0.2223</v>
      </c>
      <c r="V10">
        <v>-0.2386</v>
      </c>
      <c r="W10" t="b">
        <v>1</v>
      </c>
      <c r="X10" t="b">
        <v>1</v>
      </c>
      <c r="Y10">
        <v>309435300</v>
      </c>
      <c r="Z10">
        <v>116328510</v>
      </c>
      <c r="AA10" t="b">
        <v>1</v>
      </c>
      <c r="AB10">
        <v>21.34</v>
      </c>
      <c r="AC10">
        <v>24.53</v>
      </c>
      <c r="AD10">
        <v>18.15</v>
      </c>
      <c r="AE10">
        <v>1.005</v>
      </c>
      <c r="AF10">
        <v>0.299</v>
      </c>
      <c r="AG10">
        <v>25.65</v>
      </c>
      <c r="AH10">
        <v>18.97</v>
      </c>
      <c r="AI10" t="b">
        <v>1</v>
      </c>
      <c r="AJ10">
        <v>0.871</v>
      </c>
      <c r="AK10">
        <v>23.25</v>
      </c>
      <c r="AL10">
        <v>19.6</v>
      </c>
      <c r="AM10">
        <v>18.15</v>
      </c>
      <c r="AN10">
        <v>21.86</v>
      </c>
      <c r="AO10">
        <v>23.25</v>
      </c>
      <c r="AP10" t="s">
        <v>280</v>
      </c>
      <c r="AQ10">
        <v>21.86</v>
      </c>
      <c r="AR10">
        <v>27.02</v>
      </c>
      <c r="AS10">
        <v>0.05</v>
      </c>
      <c r="AT10">
        <v>0.07000000000000001</v>
      </c>
      <c r="AU10">
        <v>60</v>
      </c>
      <c r="AV10">
        <v>0.9111114891272767</v>
      </c>
      <c r="AW10">
        <v>6</v>
      </c>
      <c r="AX10">
        <v>7</v>
      </c>
      <c r="AY10">
        <v>370</v>
      </c>
      <c r="AZ10">
        <v>1000</v>
      </c>
      <c r="BA10">
        <v>15000</v>
      </c>
      <c r="BE10">
        <v>25.32</v>
      </c>
      <c r="BG10">
        <v>2.08</v>
      </c>
      <c r="BH10">
        <v>0.48</v>
      </c>
      <c r="BI10">
        <v>1.52</v>
      </c>
      <c r="BJ10">
        <v>252.63</v>
      </c>
      <c r="BK10">
        <v>-22.69</v>
      </c>
      <c r="BN10" t="s">
        <v>289</v>
      </c>
      <c r="BO10" t="b">
        <v>0</v>
      </c>
      <c r="BP10" s="1">
        <f>IFERROR(RANK.EQ(AX10,AX$2:AX$213,0),"")</f>
        <v>0</v>
      </c>
      <c r="BQ10">
        <f>IFERROR(Y10/Z10,"")</f>
        <v>0</v>
      </c>
      <c r="BR10">
        <f>IFERROR(U10-V10,"")</f>
        <v>0</v>
      </c>
      <c r="BS10">
        <f>IFERROR(U10&gt;V10,"")</f>
        <v>0</v>
      </c>
      <c r="BT10">
        <f>IF(AND(ISNUMBER(D10),ISNUMBER(H10),D10&gt;=H10), OR(O10=TRUE,P10=TRUE), FALSE)</f>
        <v>0</v>
      </c>
      <c r="BU10">
        <f>AND(ISNUMBER(R10), R10&gt;=45, R10&lt;=60, W10=TRUE, E10&gt;=-20)</f>
        <v>0</v>
      </c>
      <c r="BV10">
        <f>OR(AI10=TRUE,AA10=TRUE)</f>
        <v>0</v>
      </c>
      <c r="BW10">
        <f>IFERROR( (AR10-D10) / MAX(D10-AQ10,1E-9) ,"")</f>
        <v>0</v>
      </c>
      <c r="BX10">
        <f>IFERROR(BW10&gt;=2, FALSE)</f>
        <v>0</v>
      </c>
      <c r="BY10" s="1">
        <f>IFERROR(ROUNDDOWN(MIN(IF(BA10&gt;0, BA10/D10, 1E99),IF(AZ10&gt;0, AZ10/MAX(D10-AQ10,1E-9), 1E99)),0),"")</f>
        <v>0</v>
      </c>
      <c r="BZ10" s="2">
        <f>IF(AND(ISNUMBER(D10),ISNUMBER(AT10)), D10*(1-AT10), "")</f>
        <v>0</v>
      </c>
      <c r="CA10">
        <f>AND(BT10=TRUE,BU10=TRUE,BV10=TRUE,BX10=TRUE)</f>
        <v>0</v>
      </c>
    </row>
    <row r="11" spans="1:79" x14ac:dyDescent="0.25">
      <c r="A11" t="s">
        <v>76</v>
      </c>
      <c r="B11">
        <f>HYPERLINK("data/charts/TMO.png", "Open")</f>
        <v>0</v>
      </c>
      <c r="C11" t="s">
        <v>279</v>
      </c>
      <c r="D11">
        <v>489.01</v>
      </c>
      <c r="E11">
        <v>-22.12</v>
      </c>
      <c r="F11">
        <v>26.86</v>
      </c>
      <c r="G11">
        <v>0.66</v>
      </c>
      <c r="H11">
        <v>485.81</v>
      </c>
      <c r="I11">
        <v>-0.1803</v>
      </c>
      <c r="J11" t="b">
        <v>0</v>
      </c>
      <c r="K11">
        <v>434.31</v>
      </c>
      <c r="L11">
        <v>466.19</v>
      </c>
      <c r="M11">
        <v>462.94</v>
      </c>
      <c r="N11">
        <v>447.06</v>
      </c>
      <c r="O11" t="b">
        <v>1</v>
      </c>
      <c r="P11" t="b">
        <v>1</v>
      </c>
      <c r="Q11" t="b">
        <v>1</v>
      </c>
      <c r="R11">
        <v>66.77</v>
      </c>
      <c r="S11" t="b">
        <v>0</v>
      </c>
      <c r="T11" t="b">
        <v>0</v>
      </c>
      <c r="U11">
        <v>13.1513</v>
      </c>
      <c r="V11">
        <v>12.1684</v>
      </c>
      <c r="W11" t="b">
        <v>1</v>
      </c>
      <c r="X11" t="b">
        <v>1</v>
      </c>
      <c r="Y11">
        <v>2462500</v>
      </c>
      <c r="Z11">
        <v>3059715</v>
      </c>
      <c r="AA11" t="b">
        <v>0</v>
      </c>
      <c r="AB11">
        <v>466.19</v>
      </c>
      <c r="AC11">
        <v>506.26</v>
      </c>
      <c r="AD11">
        <v>426.12</v>
      </c>
      <c r="AE11">
        <v>0.785</v>
      </c>
      <c r="AF11">
        <v>0.172</v>
      </c>
      <c r="AG11">
        <v>491.55</v>
      </c>
      <c r="AH11">
        <v>403.36</v>
      </c>
      <c r="AI11" t="b">
        <v>1</v>
      </c>
      <c r="AJ11">
        <v>10.566</v>
      </c>
      <c r="AK11">
        <v>473.16</v>
      </c>
      <c r="AL11">
        <v>446.28</v>
      </c>
      <c r="AM11">
        <v>426.12</v>
      </c>
      <c r="AN11">
        <v>435.22</v>
      </c>
      <c r="AO11">
        <v>473.16</v>
      </c>
      <c r="AP11" t="s">
        <v>280</v>
      </c>
      <c r="AQ11">
        <v>435.22</v>
      </c>
      <c r="AR11">
        <v>537.91</v>
      </c>
      <c r="AS11">
        <v>0.05</v>
      </c>
      <c r="AT11">
        <v>0.07000000000000001</v>
      </c>
      <c r="AU11">
        <v>60</v>
      </c>
      <c r="AV11">
        <v>0.909090562493725</v>
      </c>
      <c r="AW11">
        <v>5</v>
      </c>
      <c r="AX11">
        <v>7</v>
      </c>
      <c r="AY11">
        <v>18</v>
      </c>
      <c r="AZ11">
        <v>1000</v>
      </c>
      <c r="BA11">
        <v>15000</v>
      </c>
      <c r="BD11">
        <v>28.25</v>
      </c>
      <c r="BE11">
        <v>20.82</v>
      </c>
      <c r="BF11">
        <v>35</v>
      </c>
      <c r="BG11">
        <v>0.09</v>
      </c>
      <c r="BH11">
        <v>0.7</v>
      </c>
      <c r="BI11">
        <v>4.73</v>
      </c>
      <c r="BJ11">
        <v>7.27</v>
      </c>
      <c r="BK11">
        <v>14.9</v>
      </c>
      <c r="BM11">
        <v>6.28</v>
      </c>
      <c r="BN11" t="s">
        <v>290</v>
      </c>
      <c r="BO11" t="b">
        <v>0</v>
      </c>
      <c r="BP11" s="1">
        <f>IFERROR(RANK.EQ(AX11,AX$2:AX$213,0),"")</f>
        <v>0</v>
      </c>
      <c r="BQ11">
        <f>IFERROR(Y11/Z11,"")</f>
        <v>0</v>
      </c>
      <c r="BR11">
        <f>IFERROR(U11-V11,"")</f>
        <v>0</v>
      </c>
      <c r="BS11">
        <f>IFERROR(U11&gt;V11,"")</f>
        <v>0</v>
      </c>
      <c r="BT11">
        <f>IF(AND(ISNUMBER(D11),ISNUMBER(H11),D11&gt;=H11), OR(O11=TRUE,P11=TRUE), FALSE)</f>
        <v>0</v>
      </c>
      <c r="BU11">
        <f>AND(ISNUMBER(R11), R11&gt;=45, R11&lt;=60, W11=TRUE, E11&gt;=-20)</f>
        <v>0</v>
      </c>
      <c r="BV11">
        <f>OR(AI11=TRUE,AA11=TRUE)</f>
        <v>0</v>
      </c>
      <c r="BW11">
        <f>IFERROR( (AR11-D11) / MAX(D11-AQ11,1E-9) ,"")</f>
        <v>0</v>
      </c>
      <c r="BX11">
        <f>IFERROR(BW11&gt;=2, FALSE)</f>
        <v>0</v>
      </c>
      <c r="BY11" s="1">
        <f>IFERROR(ROUNDDOWN(MIN(IF(BA11&gt;0, BA11/D11, 1E99),IF(AZ11&gt;0, AZ11/MAX(D11-AQ11,1E-9), 1E99)),0),"")</f>
        <v>0</v>
      </c>
      <c r="BZ11" s="2">
        <f>IF(AND(ISNUMBER(D11),ISNUMBER(AT11)), D11*(1-AT11), "")</f>
        <v>0</v>
      </c>
      <c r="CA11">
        <f>AND(BT11=TRUE,BU11=TRUE,BV11=TRUE,BX11=TRUE)</f>
        <v>0</v>
      </c>
    </row>
    <row r="12" spans="1:79" x14ac:dyDescent="0.25">
      <c r="A12" t="s">
        <v>77</v>
      </c>
      <c r="B12">
        <f>HYPERLINK("data/charts/GIL_TO.png", "Open")</f>
        <v>0</v>
      </c>
      <c r="C12" t="s">
        <v>279</v>
      </c>
      <c r="D12">
        <v>77.91</v>
      </c>
      <c r="E12">
        <v>-2.14</v>
      </c>
      <c r="F12">
        <v>47.64</v>
      </c>
      <c r="G12">
        <v>14.17</v>
      </c>
      <c r="H12">
        <v>68.23999999999999</v>
      </c>
      <c r="I12">
        <v>0.0469</v>
      </c>
      <c r="J12" t="b">
        <v>1</v>
      </c>
      <c r="K12">
        <v>68.98999999999999</v>
      </c>
      <c r="L12">
        <v>72.04000000000001</v>
      </c>
      <c r="M12">
        <v>72.11</v>
      </c>
      <c r="N12">
        <v>69.92</v>
      </c>
      <c r="O12" t="b">
        <v>1</v>
      </c>
      <c r="P12" t="b">
        <v>1</v>
      </c>
      <c r="Q12" t="b">
        <v>1</v>
      </c>
      <c r="R12">
        <v>67.40000000000001</v>
      </c>
      <c r="S12" t="b">
        <v>0</v>
      </c>
      <c r="T12" t="b">
        <v>0</v>
      </c>
      <c r="U12">
        <v>1.6053</v>
      </c>
      <c r="V12">
        <v>1.0981</v>
      </c>
      <c r="W12" t="b">
        <v>1</v>
      </c>
      <c r="X12" t="b">
        <v>1</v>
      </c>
      <c r="Y12">
        <v>726500</v>
      </c>
      <c r="Z12">
        <v>471410</v>
      </c>
      <c r="AA12" t="b">
        <v>1</v>
      </c>
      <c r="AB12">
        <v>72.04000000000001</v>
      </c>
      <c r="AC12">
        <v>76.86</v>
      </c>
      <c r="AD12">
        <v>67.22</v>
      </c>
      <c r="AE12">
        <v>1.109</v>
      </c>
      <c r="AF12">
        <v>0.134</v>
      </c>
      <c r="AG12">
        <v>79.61</v>
      </c>
      <c r="AH12">
        <v>63.41</v>
      </c>
      <c r="AI12" t="b">
        <v>0</v>
      </c>
      <c r="AJ12">
        <v>2.307</v>
      </c>
      <c r="AK12">
        <v>74.45</v>
      </c>
      <c r="AL12">
        <v>63.41</v>
      </c>
      <c r="AM12">
        <v>67.22</v>
      </c>
      <c r="AN12">
        <v>69.34</v>
      </c>
      <c r="AO12">
        <v>74.45</v>
      </c>
      <c r="AP12" t="s">
        <v>280</v>
      </c>
      <c r="AQ12">
        <v>69.34</v>
      </c>
      <c r="AR12">
        <v>85.7</v>
      </c>
      <c r="AS12">
        <v>0.05</v>
      </c>
      <c r="AT12">
        <v>0.07000000000000001</v>
      </c>
      <c r="AU12">
        <v>60</v>
      </c>
      <c r="AV12">
        <v>0.9089840150632145</v>
      </c>
      <c r="AW12">
        <v>5</v>
      </c>
      <c r="AX12">
        <v>7</v>
      </c>
      <c r="AY12">
        <v>116</v>
      </c>
      <c r="AZ12">
        <v>1000</v>
      </c>
      <c r="BA12">
        <v>15000</v>
      </c>
      <c r="BD12">
        <v>18.16</v>
      </c>
      <c r="BE12">
        <v>17.39</v>
      </c>
      <c r="BF12">
        <v>1.6</v>
      </c>
      <c r="BG12">
        <v>0.28</v>
      </c>
      <c r="BH12">
        <v>1.36</v>
      </c>
      <c r="BI12">
        <v>29.06</v>
      </c>
      <c r="BJ12">
        <v>62.84</v>
      </c>
      <c r="BK12">
        <v>15.01</v>
      </c>
      <c r="BM12">
        <v>0.13</v>
      </c>
      <c r="BN12" t="s">
        <v>285</v>
      </c>
      <c r="BO12" t="b">
        <v>0</v>
      </c>
      <c r="BP12" s="1">
        <f>IFERROR(RANK.EQ(AX12,AX$2:AX$213,0),"")</f>
        <v>0</v>
      </c>
      <c r="BQ12">
        <f>IFERROR(Y12/Z12,"")</f>
        <v>0</v>
      </c>
      <c r="BR12">
        <f>IFERROR(U12-V12,"")</f>
        <v>0</v>
      </c>
      <c r="BS12">
        <f>IFERROR(U12&gt;V12,"")</f>
        <v>0</v>
      </c>
      <c r="BT12">
        <f>IF(AND(ISNUMBER(D12),ISNUMBER(H12),D12&gt;=H12), OR(O12=TRUE,P12=TRUE), FALSE)</f>
        <v>0</v>
      </c>
      <c r="BU12">
        <f>AND(ISNUMBER(R12), R12&gt;=45, R12&lt;=60, W12=TRUE, E12&gt;=-20)</f>
        <v>0</v>
      </c>
      <c r="BV12">
        <f>OR(AI12=TRUE,AA12=TRUE)</f>
        <v>0</v>
      </c>
      <c r="BW12">
        <f>IFERROR( (AR12-D12) / MAX(D12-AQ12,1E-9) ,"")</f>
        <v>0</v>
      </c>
      <c r="BX12">
        <f>IFERROR(BW12&gt;=2, FALSE)</f>
        <v>0</v>
      </c>
      <c r="BY12" s="1">
        <f>IFERROR(ROUNDDOWN(MIN(IF(BA12&gt;0, BA12/D12, 1E99),IF(AZ12&gt;0, AZ12/MAX(D12-AQ12,1E-9), 1E99)),0),"")</f>
        <v>0</v>
      </c>
      <c r="BZ12" s="2">
        <f>IF(AND(ISNUMBER(D12),ISNUMBER(AT12)), D12*(1-AT12), "")</f>
        <v>0</v>
      </c>
      <c r="CA12">
        <f>AND(BT12=TRUE,BU12=TRUE,BV12=TRUE,BX12=TRUE)</f>
        <v>0</v>
      </c>
    </row>
    <row r="13" spans="1:79" x14ac:dyDescent="0.25">
      <c r="A13" t="s">
        <v>78</v>
      </c>
      <c r="B13">
        <f>HYPERLINK("data/charts/DAL.png", "Open")</f>
        <v>0</v>
      </c>
      <c r="C13" t="s">
        <v>279</v>
      </c>
      <c r="D13">
        <v>60.24</v>
      </c>
      <c r="E13">
        <v>-13.92</v>
      </c>
      <c r="F13">
        <v>73.40000000000001</v>
      </c>
      <c r="G13">
        <v>9.65</v>
      </c>
      <c r="H13">
        <v>54.94</v>
      </c>
      <c r="I13">
        <v>0.0488</v>
      </c>
      <c r="J13" t="b">
        <v>1</v>
      </c>
      <c r="K13">
        <v>52.65</v>
      </c>
      <c r="L13">
        <v>55.13</v>
      </c>
      <c r="M13">
        <v>55.38</v>
      </c>
      <c r="N13">
        <v>53.27</v>
      </c>
      <c r="O13" t="b">
        <v>1</v>
      </c>
      <c r="P13" t="b">
        <v>1</v>
      </c>
      <c r="Q13" t="b">
        <v>1</v>
      </c>
      <c r="R13">
        <v>69.59</v>
      </c>
      <c r="S13" t="b">
        <v>0</v>
      </c>
      <c r="T13" t="b">
        <v>0</v>
      </c>
      <c r="U13">
        <v>1.5084</v>
      </c>
      <c r="V13">
        <v>0.9499</v>
      </c>
      <c r="W13" t="b">
        <v>1</v>
      </c>
      <c r="X13" t="b">
        <v>1</v>
      </c>
      <c r="Y13">
        <v>9821300</v>
      </c>
      <c r="Z13">
        <v>7549980</v>
      </c>
      <c r="AA13" t="b">
        <v>0</v>
      </c>
      <c r="AB13">
        <v>55.13</v>
      </c>
      <c r="AC13">
        <v>59.93</v>
      </c>
      <c r="AD13">
        <v>50.34</v>
      </c>
      <c r="AE13">
        <v>1.033</v>
      </c>
      <c r="AF13">
        <v>0.174</v>
      </c>
      <c r="AG13">
        <v>60.49</v>
      </c>
      <c r="AH13">
        <v>50.45</v>
      </c>
      <c r="AI13" t="b">
        <v>1</v>
      </c>
      <c r="AJ13">
        <v>1.558</v>
      </c>
      <c r="AK13">
        <v>57.9</v>
      </c>
      <c r="AL13">
        <v>52.88</v>
      </c>
      <c r="AM13">
        <v>50.34</v>
      </c>
      <c r="AN13">
        <v>53.61</v>
      </c>
      <c r="AO13">
        <v>57.9</v>
      </c>
      <c r="AP13" t="s">
        <v>280</v>
      </c>
      <c r="AQ13">
        <v>53.61</v>
      </c>
      <c r="AR13">
        <v>66.26000000000001</v>
      </c>
      <c r="AS13">
        <v>0.05</v>
      </c>
      <c r="AT13">
        <v>0.07000000000000001</v>
      </c>
      <c r="AU13">
        <v>60</v>
      </c>
      <c r="AV13">
        <v>0.907993483785263</v>
      </c>
      <c r="AW13">
        <v>5</v>
      </c>
      <c r="AX13">
        <v>7</v>
      </c>
      <c r="AY13">
        <v>150</v>
      </c>
      <c r="AZ13">
        <v>1000</v>
      </c>
      <c r="BA13">
        <v>15000</v>
      </c>
      <c r="BD13">
        <v>8.76</v>
      </c>
      <c r="BE13">
        <v>8.58</v>
      </c>
      <c r="BF13">
        <v>1.25</v>
      </c>
      <c r="BG13">
        <v>0.09</v>
      </c>
      <c r="BH13">
        <v>1.22</v>
      </c>
      <c r="BI13">
        <v>18.58</v>
      </c>
      <c r="BJ13">
        <v>786.49</v>
      </c>
      <c r="BK13">
        <v>12.79</v>
      </c>
      <c r="BM13">
        <v>0.14</v>
      </c>
      <c r="BN13" t="s">
        <v>285</v>
      </c>
      <c r="BO13" t="b">
        <v>0</v>
      </c>
      <c r="BP13" s="1">
        <f>IFERROR(RANK.EQ(AX13,AX$2:AX$213,0),"")</f>
        <v>0</v>
      </c>
      <c r="BQ13">
        <f>IFERROR(Y13/Z13,"")</f>
        <v>0</v>
      </c>
      <c r="BR13">
        <f>IFERROR(U13-V13,"")</f>
        <v>0</v>
      </c>
      <c r="BS13">
        <f>IFERROR(U13&gt;V13,"")</f>
        <v>0</v>
      </c>
      <c r="BT13">
        <f>IF(AND(ISNUMBER(D13),ISNUMBER(H13),D13&gt;=H13), OR(O13=TRUE,P13=TRUE), FALSE)</f>
        <v>0</v>
      </c>
      <c r="BU13">
        <f>AND(ISNUMBER(R13), R13&gt;=45, R13&lt;=60, W13=TRUE, E13&gt;=-20)</f>
        <v>0</v>
      </c>
      <c r="BV13">
        <f>OR(AI13=TRUE,AA13=TRUE)</f>
        <v>0</v>
      </c>
      <c r="BW13">
        <f>IFERROR( (AR13-D13) / MAX(D13-AQ13,1E-9) ,"")</f>
        <v>0</v>
      </c>
      <c r="BX13">
        <f>IFERROR(BW13&gt;=2, FALSE)</f>
        <v>0</v>
      </c>
      <c r="BY13" s="1">
        <f>IFERROR(ROUNDDOWN(MIN(IF(BA13&gt;0, BA13/D13, 1E99),IF(AZ13&gt;0, AZ13/MAX(D13-AQ13,1E-9), 1E99)),0),"")</f>
        <v>0</v>
      </c>
      <c r="BZ13" s="2">
        <f>IF(AND(ISNUMBER(D13),ISNUMBER(AT13)), D13*(1-AT13), "")</f>
        <v>0</v>
      </c>
      <c r="CA13">
        <f>AND(BT13=TRUE,BU13=TRUE,BV13=TRUE,BX13=TRUE)</f>
        <v>0</v>
      </c>
    </row>
    <row r="14" spans="1:79" x14ac:dyDescent="0.25">
      <c r="A14" t="s">
        <v>79</v>
      </c>
      <c r="B14">
        <f>HYPERLINK("data/charts/RY_TO.png", "Open")</f>
        <v>0</v>
      </c>
      <c r="C14" t="s">
        <v>279</v>
      </c>
      <c r="D14">
        <v>188.5</v>
      </c>
      <c r="E14">
        <v>-0.49</v>
      </c>
      <c r="F14">
        <v>24.63</v>
      </c>
      <c r="G14">
        <v>9.44</v>
      </c>
      <c r="H14">
        <v>172.23</v>
      </c>
      <c r="I14">
        <v>0.0367</v>
      </c>
      <c r="J14" t="b">
        <v>1</v>
      </c>
      <c r="K14">
        <v>179.29</v>
      </c>
      <c r="L14">
        <v>182.07</v>
      </c>
      <c r="M14">
        <v>182.72</v>
      </c>
      <c r="N14">
        <v>179.46</v>
      </c>
      <c r="O14" t="b">
        <v>1</v>
      </c>
      <c r="P14" t="b">
        <v>1</v>
      </c>
      <c r="Q14" t="b">
        <v>1</v>
      </c>
      <c r="R14">
        <v>72.86</v>
      </c>
      <c r="S14" t="b">
        <v>0</v>
      </c>
      <c r="T14" t="b">
        <v>0</v>
      </c>
      <c r="U14">
        <v>2.2032</v>
      </c>
      <c r="V14">
        <v>1.4115</v>
      </c>
      <c r="W14" t="b">
        <v>1</v>
      </c>
      <c r="X14" t="b">
        <v>0</v>
      </c>
      <c r="Y14">
        <v>2170600</v>
      </c>
      <c r="Z14">
        <v>4396670</v>
      </c>
      <c r="AA14" t="b">
        <v>0</v>
      </c>
      <c r="AB14">
        <v>182.07</v>
      </c>
      <c r="AC14">
        <v>188.46</v>
      </c>
      <c r="AD14">
        <v>175.68</v>
      </c>
      <c r="AE14">
        <v>1.003</v>
      </c>
      <c r="AF14">
        <v>0.07000000000000001</v>
      </c>
      <c r="AG14">
        <v>189.43</v>
      </c>
      <c r="AH14">
        <v>175.5</v>
      </c>
      <c r="AI14" t="b">
        <v>0</v>
      </c>
      <c r="AJ14">
        <v>1.701</v>
      </c>
      <c r="AK14">
        <v>185.95</v>
      </c>
      <c r="AL14">
        <v>175.5</v>
      </c>
      <c r="AM14">
        <v>175.68</v>
      </c>
      <c r="AN14">
        <v>167.77</v>
      </c>
      <c r="AO14">
        <v>185.95</v>
      </c>
      <c r="AP14" t="s">
        <v>280</v>
      </c>
      <c r="AQ14">
        <v>167.77</v>
      </c>
      <c r="AR14">
        <v>207.35</v>
      </c>
      <c r="AS14">
        <v>0.05</v>
      </c>
      <c r="AT14">
        <v>0.07000000000000001</v>
      </c>
      <c r="AU14">
        <v>60</v>
      </c>
      <c r="AV14">
        <v>0.9093101784852872</v>
      </c>
      <c r="AW14">
        <v>5</v>
      </c>
      <c r="AX14">
        <v>7</v>
      </c>
      <c r="AY14">
        <v>48</v>
      </c>
      <c r="AZ14">
        <v>1000</v>
      </c>
      <c r="BA14">
        <v>15000</v>
      </c>
      <c r="BD14">
        <v>15.02</v>
      </c>
      <c r="BE14">
        <v>14.94</v>
      </c>
      <c r="BF14">
        <v>3.27</v>
      </c>
      <c r="BG14">
        <v>0.46</v>
      </c>
      <c r="BH14">
        <v>3.77</v>
      </c>
      <c r="BI14">
        <v>-6.36</v>
      </c>
      <c r="BJ14">
        <v>-14.41</v>
      </c>
      <c r="BK14">
        <v>28.01</v>
      </c>
      <c r="BM14">
        <v>1.35</v>
      </c>
      <c r="BN14" t="s">
        <v>291</v>
      </c>
      <c r="BO14" t="b">
        <v>1</v>
      </c>
      <c r="BP14" s="1">
        <f>IFERROR(RANK.EQ(AX14,AX$2:AX$213,0),"")</f>
        <v>0</v>
      </c>
      <c r="BQ14">
        <f>IFERROR(Y14/Z14,"")</f>
        <v>0</v>
      </c>
      <c r="BR14">
        <f>IFERROR(U14-V14,"")</f>
        <v>0</v>
      </c>
      <c r="BS14">
        <f>IFERROR(U14&gt;V14,"")</f>
        <v>0</v>
      </c>
      <c r="BT14">
        <f>IF(AND(ISNUMBER(D14),ISNUMBER(H14),D14&gt;=H14), OR(O14=TRUE,P14=TRUE), FALSE)</f>
        <v>0</v>
      </c>
      <c r="BU14">
        <f>AND(ISNUMBER(R14), R14&gt;=45, R14&lt;=60, W14=TRUE, E14&gt;=-20)</f>
        <v>0</v>
      </c>
      <c r="BV14">
        <f>OR(AI14=TRUE,AA14=TRUE)</f>
        <v>0</v>
      </c>
      <c r="BW14">
        <f>IFERROR( (AR14-D14) / MAX(D14-AQ14,1E-9) ,"")</f>
        <v>0</v>
      </c>
      <c r="BX14">
        <f>IFERROR(BW14&gt;=2, FALSE)</f>
        <v>0</v>
      </c>
      <c r="BY14" s="1">
        <f>IFERROR(ROUNDDOWN(MIN(IF(BA14&gt;0, BA14/D14, 1E99),IF(AZ14&gt;0, AZ14/MAX(D14-AQ14,1E-9), 1E99)),0),"")</f>
        <v>0</v>
      </c>
      <c r="BZ14" s="2">
        <f>IF(AND(ISNUMBER(D14),ISNUMBER(AT14)), D14*(1-AT14), "")</f>
        <v>0</v>
      </c>
      <c r="CA14">
        <f>AND(BT14=TRUE,BU14=TRUE,BV14=TRUE,BX14=TRUE)</f>
        <v>0</v>
      </c>
    </row>
    <row r="15" spans="1:79" x14ac:dyDescent="0.25">
      <c r="A15" t="s">
        <v>80</v>
      </c>
      <c r="B15">
        <f>HYPERLINK("data/charts/ABX_TO.png", "Open")</f>
        <v>0</v>
      </c>
      <c r="C15" t="s">
        <v>279</v>
      </c>
      <c r="D15">
        <v>33.31</v>
      </c>
      <c r="E15">
        <v>-0.06</v>
      </c>
      <c r="F15">
        <v>53.29</v>
      </c>
      <c r="G15">
        <v>26.52</v>
      </c>
      <c r="H15">
        <v>26.33</v>
      </c>
      <c r="I15">
        <v>0.0343</v>
      </c>
      <c r="J15" t="b">
        <v>1</v>
      </c>
      <c r="K15">
        <v>29.4</v>
      </c>
      <c r="L15">
        <v>30.59</v>
      </c>
      <c r="M15">
        <v>30.94</v>
      </c>
      <c r="N15">
        <v>29.6</v>
      </c>
      <c r="O15" t="b">
        <v>1</v>
      </c>
      <c r="P15" t="b">
        <v>1</v>
      </c>
      <c r="Q15" t="b">
        <v>1</v>
      </c>
      <c r="R15">
        <v>73.01000000000001</v>
      </c>
      <c r="S15" t="b">
        <v>0</v>
      </c>
      <c r="T15" t="b">
        <v>0</v>
      </c>
      <c r="U15">
        <v>1.0764</v>
      </c>
      <c r="V15">
        <v>0.8063</v>
      </c>
      <c r="W15" t="b">
        <v>0</v>
      </c>
      <c r="X15" t="b">
        <v>0</v>
      </c>
      <c r="Y15">
        <v>8862600</v>
      </c>
      <c r="Z15">
        <v>4237640</v>
      </c>
      <c r="AA15" t="b">
        <v>1</v>
      </c>
      <c r="AB15">
        <v>30.59</v>
      </c>
      <c r="AC15">
        <v>33.55</v>
      </c>
      <c r="AD15">
        <v>27.62</v>
      </c>
      <c r="AE15">
        <v>0.959</v>
      </c>
      <c r="AF15">
        <v>0.194</v>
      </c>
      <c r="AG15">
        <v>33.33</v>
      </c>
      <c r="AH15">
        <v>28.38</v>
      </c>
      <c r="AI15" t="b">
        <v>1</v>
      </c>
      <c r="AJ15">
        <v>0.721</v>
      </c>
      <c r="AK15">
        <v>32.23</v>
      </c>
      <c r="AL15">
        <v>30.53</v>
      </c>
      <c r="AM15">
        <v>27.62</v>
      </c>
      <c r="AN15">
        <v>29.65</v>
      </c>
      <c r="AO15">
        <v>32.23</v>
      </c>
      <c r="AP15" t="s">
        <v>280</v>
      </c>
      <c r="AQ15">
        <v>29.65</v>
      </c>
      <c r="AR15">
        <v>36.64</v>
      </c>
      <c r="AS15">
        <v>0.05</v>
      </c>
      <c r="AT15">
        <v>0.07000000000000001</v>
      </c>
      <c r="AU15">
        <v>60</v>
      </c>
      <c r="AV15">
        <v>0.9098353489727522</v>
      </c>
      <c r="AW15">
        <v>5</v>
      </c>
      <c r="AX15">
        <v>7</v>
      </c>
      <c r="AY15">
        <v>273</v>
      </c>
      <c r="AZ15">
        <v>1000</v>
      </c>
      <c r="BA15">
        <v>15000</v>
      </c>
      <c r="BD15">
        <v>15.21</v>
      </c>
      <c r="BE15">
        <v>15.94</v>
      </c>
      <c r="BF15">
        <v>2.48</v>
      </c>
      <c r="BG15">
        <v>0.25</v>
      </c>
      <c r="BH15">
        <v>0.14</v>
      </c>
      <c r="BI15">
        <v>17.6</v>
      </c>
      <c r="BJ15">
        <v>74.06999999999999</v>
      </c>
      <c r="BK15">
        <v>22.03</v>
      </c>
      <c r="BM15">
        <v>0.13</v>
      </c>
      <c r="BN15" t="s">
        <v>285</v>
      </c>
      <c r="BO15" t="b">
        <v>0</v>
      </c>
      <c r="BP15" s="1">
        <f>IFERROR(RANK.EQ(AX15,AX$2:AX$213,0),"")</f>
        <v>0</v>
      </c>
      <c r="BQ15">
        <f>IFERROR(Y15/Z15,"")</f>
        <v>0</v>
      </c>
      <c r="BR15">
        <f>IFERROR(U15-V15,"")</f>
        <v>0</v>
      </c>
      <c r="BS15">
        <f>IFERROR(U15&gt;V15,"")</f>
        <v>0</v>
      </c>
      <c r="BT15">
        <f>IF(AND(ISNUMBER(D15),ISNUMBER(H15),D15&gt;=H15), OR(O15=TRUE,P15=TRUE), FALSE)</f>
        <v>0</v>
      </c>
      <c r="BU15">
        <f>AND(ISNUMBER(R15), R15&gt;=45, R15&lt;=60, W15=TRUE, E15&gt;=-20)</f>
        <v>0</v>
      </c>
      <c r="BV15">
        <f>OR(AI15=TRUE,AA15=TRUE)</f>
        <v>0</v>
      </c>
      <c r="BW15">
        <f>IFERROR( (AR15-D15) / MAX(D15-AQ15,1E-9) ,"")</f>
        <v>0</v>
      </c>
      <c r="BX15">
        <f>IFERROR(BW15&gt;=2, FALSE)</f>
        <v>0</v>
      </c>
      <c r="BY15" s="1">
        <f>IFERROR(ROUNDDOWN(MIN(IF(BA15&gt;0, BA15/D15, 1E99),IF(AZ15&gt;0, AZ15/MAX(D15-AQ15,1E-9), 1E99)),0),"")</f>
        <v>0</v>
      </c>
      <c r="BZ15" s="2">
        <f>IF(AND(ISNUMBER(D15),ISNUMBER(AT15)), D15*(1-AT15), "")</f>
        <v>0</v>
      </c>
      <c r="CA15">
        <f>AND(BT15=TRUE,BU15=TRUE,BV15=TRUE,BX15=TRUE)</f>
        <v>0</v>
      </c>
    </row>
    <row r="16" spans="1:79" x14ac:dyDescent="0.25">
      <c r="A16" t="s">
        <v>81</v>
      </c>
      <c r="B16">
        <f>HYPERLINK("data/charts/BHC_TO.png", "Open")</f>
        <v>0</v>
      </c>
      <c r="C16" t="s">
        <v>279</v>
      </c>
      <c r="D16">
        <v>11.52</v>
      </c>
      <c r="E16">
        <v>-16.16</v>
      </c>
      <c r="F16">
        <v>94.92</v>
      </c>
      <c r="G16">
        <v>22.37</v>
      </c>
      <c r="H16">
        <v>9.41</v>
      </c>
      <c r="I16">
        <v>-0.0727</v>
      </c>
      <c r="J16" t="b">
        <v>0</v>
      </c>
      <c r="K16">
        <v>8.640000000000001</v>
      </c>
      <c r="L16">
        <v>9.01</v>
      </c>
      <c r="M16">
        <v>9.16</v>
      </c>
      <c r="N16">
        <v>8.69</v>
      </c>
      <c r="O16" t="b">
        <v>1</v>
      </c>
      <c r="P16" t="b">
        <v>1</v>
      </c>
      <c r="Q16" t="b">
        <v>1</v>
      </c>
      <c r="R16">
        <v>76.73999999999999</v>
      </c>
      <c r="S16" t="b">
        <v>0</v>
      </c>
      <c r="T16" t="b">
        <v>0</v>
      </c>
      <c r="U16">
        <v>0.4168</v>
      </c>
      <c r="V16">
        <v>0.1532</v>
      </c>
      <c r="W16" t="b">
        <v>1</v>
      </c>
      <c r="X16" t="b">
        <v>1</v>
      </c>
      <c r="Y16">
        <v>1809700</v>
      </c>
      <c r="Z16">
        <v>512825</v>
      </c>
      <c r="AA16" t="b">
        <v>1</v>
      </c>
      <c r="AB16">
        <v>9.01</v>
      </c>
      <c r="AC16">
        <v>10.81</v>
      </c>
      <c r="AD16">
        <v>7.2</v>
      </c>
      <c r="AE16">
        <v>1.197</v>
      </c>
      <c r="AF16">
        <v>0.4</v>
      </c>
      <c r="AG16">
        <v>11.97</v>
      </c>
      <c r="AH16">
        <v>7.64</v>
      </c>
      <c r="AI16" t="b">
        <v>1</v>
      </c>
      <c r="AJ16">
        <v>0.5639999999999999</v>
      </c>
      <c r="AK16">
        <v>10.67</v>
      </c>
      <c r="AL16">
        <v>7.83</v>
      </c>
      <c r="AM16">
        <v>7.2</v>
      </c>
      <c r="AN16">
        <v>10.25</v>
      </c>
      <c r="AO16">
        <v>10.67</v>
      </c>
      <c r="AP16" t="s">
        <v>280</v>
      </c>
      <c r="AQ16">
        <v>10.25</v>
      </c>
      <c r="AR16">
        <v>12.67</v>
      </c>
      <c r="AS16">
        <v>0.05</v>
      </c>
      <c r="AT16">
        <v>0.07000000000000001</v>
      </c>
      <c r="AU16">
        <v>60</v>
      </c>
      <c r="AV16">
        <v>0.9055111241938826</v>
      </c>
      <c r="AW16">
        <v>6</v>
      </c>
      <c r="AX16">
        <v>6.75</v>
      </c>
      <c r="AY16">
        <v>787</v>
      </c>
      <c r="AZ16">
        <v>1000</v>
      </c>
      <c r="BA16">
        <v>15000</v>
      </c>
      <c r="BD16">
        <v>32</v>
      </c>
      <c r="BE16">
        <v>1.91</v>
      </c>
      <c r="BG16">
        <v>0</v>
      </c>
      <c r="BH16">
        <v>147.88</v>
      </c>
      <c r="BI16">
        <v>12</v>
      </c>
      <c r="BJ16">
        <v>-355.17</v>
      </c>
      <c r="BK16">
        <v>5.85</v>
      </c>
      <c r="BM16">
        <v>0.02</v>
      </c>
      <c r="BN16" t="s">
        <v>292</v>
      </c>
      <c r="BO16" t="b">
        <v>0</v>
      </c>
      <c r="BP16" s="1">
        <f>IFERROR(RANK.EQ(AX16,AX$2:AX$213,0),"")</f>
        <v>0</v>
      </c>
      <c r="BQ16">
        <f>IFERROR(Y16/Z16,"")</f>
        <v>0</v>
      </c>
      <c r="BR16">
        <f>IFERROR(U16-V16,"")</f>
        <v>0</v>
      </c>
      <c r="BS16">
        <f>IFERROR(U16&gt;V16,"")</f>
        <v>0</v>
      </c>
      <c r="BT16">
        <f>IF(AND(ISNUMBER(D16),ISNUMBER(H16),D16&gt;=H16), OR(O16=TRUE,P16=TRUE), FALSE)</f>
        <v>0</v>
      </c>
      <c r="BU16">
        <f>AND(ISNUMBER(R16), R16&gt;=45, R16&lt;=60, W16=TRUE, E16&gt;=-20)</f>
        <v>0</v>
      </c>
      <c r="BV16">
        <f>OR(AI16=TRUE,AA16=TRUE)</f>
        <v>0</v>
      </c>
      <c r="BW16">
        <f>IFERROR( (AR16-D16) / MAX(D16-AQ16,1E-9) ,"")</f>
        <v>0</v>
      </c>
      <c r="BX16">
        <f>IFERROR(BW16&gt;=2, FALSE)</f>
        <v>0</v>
      </c>
      <c r="BY16" s="1">
        <f>IFERROR(ROUNDDOWN(MIN(IF(BA16&gt;0, BA16/D16, 1E99),IF(AZ16&gt;0, AZ16/MAX(D16-AQ16,1E-9), 1E99)),0),"")</f>
        <v>0</v>
      </c>
      <c r="BZ16" s="2">
        <f>IF(AND(ISNUMBER(D16),ISNUMBER(AT16)), D16*(1-AT16), "")</f>
        <v>0</v>
      </c>
      <c r="CA16">
        <f>AND(BT16=TRUE,BU16=TRUE,BV16=TRUE,BX16=TRUE)</f>
        <v>0</v>
      </c>
    </row>
    <row r="17" spans="1:79" x14ac:dyDescent="0.25">
      <c r="A17" t="s">
        <v>82</v>
      </c>
      <c r="B17">
        <f>HYPERLINK("data/charts/ENPH.png", "Open")</f>
        <v>0</v>
      </c>
      <c r="C17" t="s">
        <v>279</v>
      </c>
      <c r="D17">
        <v>34.84</v>
      </c>
      <c r="E17">
        <v>-73.22</v>
      </c>
      <c r="F17">
        <v>16.56</v>
      </c>
      <c r="G17">
        <v>-37.29</v>
      </c>
      <c r="H17">
        <v>55.55</v>
      </c>
      <c r="I17">
        <v>-0.6421</v>
      </c>
      <c r="J17" t="b">
        <v>0</v>
      </c>
      <c r="K17">
        <v>38.19</v>
      </c>
      <c r="L17">
        <v>34.03</v>
      </c>
      <c r="M17">
        <v>34.47</v>
      </c>
      <c r="N17">
        <v>37.97</v>
      </c>
      <c r="O17" t="b">
        <v>1</v>
      </c>
      <c r="P17" t="b">
        <v>0</v>
      </c>
      <c r="Q17" t="b">
        <v>1</v>
      </c>
      <c r="R17">
        <v>48.86</v>
      </c>
      <c r="S17" t="b">
        <v>0</v>
      </c>
      <c r="T17" t="b">
        <v>0</v>
      </c>
      <c r="U17">
        <v>-1.6317</v>
      </c>
      <c r="V17">
        <v>-2.0504</v>
      </c>
      <c r="W17" t="b">
        <v>1</v>
      </c>
      <c r="X17" t="b">
        <v>0</v>
      </c>
      <c r="Y17">
        <v>20879500</v>
      </c>
      <c r="Z17">
        <v>10079830</v>
      </c>
      <c r="AA17" t="b">
        <v>1</v>
      </c>
      <c r="AB17">
        <v>34.03</v>
      </c>
      <c r="AC17">
        <v>39.75</v>
      </c>
      <c r="AD17">
        <v>28.3</v>
      </c>
      <c r="AE17">
        <v>0.571</v>
      </c>
      <c r="AF17">
        <v>0.336</v>
      </c>
      <c r="AG17">
        <v>43.25</v>
      </c>
      <c r="AH17">
        <v>29.89</v>
      </c>
      <c r="AI17" t="b">
        <v>0</v>
      </c>
      <c r="AJ17">
        <v>1.786</v>
      </c>
      <c r="AK17">
        <v>32.16</v>
      </c>
      <c r="AL17">
        <v>29.89</v>
      </c>
      <c r="AM17">
        <v>28.3</v>
      </c>
      <c r="AN17">
        <v>31.01</v>
      </c>
      <c r="AO17">
        <v>32.16</v>
      </c>
      <c r="AP17" t="s">
        <v>280</v>
      </c>
      <c r="AQ17">
        <v>31.01</v>
      </c>
      <c r="AR17">
        <v>38.32</v>
      </c>
      <c r="AS17">
        <v>0.05</v>
      </c>
      <c r="AT17">
        <v>0.07000000000000001</v>
      </c>
      <c r="AU17">
        <v>60</v>
      </c>
      <c r="AV17">
        <v>0.9086161119499465</v>
      </c>
      <c r="AW17">
        <v>5</v>
      </c>
      <c r="AX17">
        <v>6.75</v>
      </c>
      <c r="AY17">
        <v>261</v>
      </c>
      <c r="AZ17">
        <v>1000</v>
      </c>
      <c r="BA17">
        <v>15000</v>
      </c>
      <c r="BD17">
        <v>27.01</v>
      </c>
      <c r="BE17">
        <v>9.52</v>
      </c>
      <c r="BG17">
        <v>0</v>
      </c>
      <c r="BH17">
        <v>1.37</v>
      </c>
      <c r="BI17">
        <v>1.99</v>
      </c>
      <c r="BJ17">
        <v>21.74</v>
      </c>
      <c r="BK17">
        <v>10.2</v>
      </c>
      <c r="BM17">
        <v>0.11</v>
      </c>
      <c r="BN17" t="s">
        <v>290</v>
      </c>
      <c r="BO17" t="b">
        <v>0</v>
      </c>
      <c r="BP17" s="1">
        <f>IFERROR(RANK.EQ(AX17,AX$2:AX$213,0),"")</f>
        <v>0</v>
      </c>
      <c r="BQ17">
        <f>IFERROR(Y17/Z17,"")</f>
        <v>0</v>
      </c>
      <c r="BR17">
        <f>IFERROR(U17-V17,"")</f>
        <v>0</v>
      </c>
      <c r="BS17">
        <f>IFERROR(U17&gt;V17,"")</f>
        <v>0</v>
      </c>
      <c r="BT17">
        <f>IF(AND(ISNUMBER(D17),ISNUMBER(H17),D17&gt;=H17), OR(O17=TRUE,P17=TRUE), FALSE)</f>
        <v>0</v>
      </c>
      <c r="BU17">
        <f>AND(ISNUMBER(R17), R17&gt;=45, R17&lt;=60, W17=TRUE, E17&gt;=-20)</f>
        <v>0</v>
      </c>
      <c r="BV17">
        <f>OR(AI17=TRUE,AA17=TRUE)</f>
        <v>0</v>
      </c>
      <c r="BW17">
        <f>IFERROR( (AR17-D17) / MAX(D17-AQ17,1E-9) ,"")</f>
        <v>0</v>
      </c>
      <c r="BX17">
        <f>IFERROR(BW17&gt;=2, FALSE)</f>
        <v>0</v>
      </c>
      <c r="BY17" s="1">
        <f>IFERROR(ROUNDDOWN(MIN(IF(BA17&gt;0, BA17/D17, 1E99),IF(AZ17&gt;0, AZ17/MAX(D17-AQ17,1E-9), 1E99)),0),"")</f>
        <v>0</v>
      </c>
      <c r="BZ17" s="2">
        <f>IF(AND(ISNUMBER(D17),ISNUMBER(AT17)), D17*(1-AT17), "")</f>
        <v>0</v>
      </c>
      <c r="CA17">
        <f>AND(BT17=TRUE,BU17=TRUE,BV17=TRUE,BX17=TRUE)</f>
        <v>0</v>
      </c>
    </row>
    <row r="18" spans="1:79" x14ac:dyDescent="0.25">
      <c r="A18" t="s">
        <v>83</v>
      </c>
      <c r="B18">
        <f>HYPERLINK("data/charts/QBR-B_TO.png", "Open")</f>
        <v>0</v>
      </c>
      <c r="C18" t="s">
        <v>279</v>
      </c>
      <c r="D18">
        <v>40.47</v>
      </c>
      <c r="E18">
        <v>-3.62</v>
      </c>
      <c r="F18">
        <v>34.81</v>
      </c>
      <c r="G18">
        <v>13.36</v>
      </c>
      <c r="H18">
        <v>35.7</v>
      </c>
      <c r="I18">
        <v>0.0793</v>
      </c>
      <c r="J18" t="b">
        <v>1</v>
      </c>
      <c r="K18">
        <v>40.02</v>
      </c>
      <c r="L18">
        <v>39.29</v>
      </c>
      <c r="M18">
        <v>39.42</v>
      </c>
      <c r="N18">
        <v>39.39</v>
      </c>
      <c r="O18" t="b">
        <v>1</v>
      </c>
      <c r="P18" t="b">
        <v>1</v>
      </c>
      <c r="Q18" t="b">
        <v>1</v>
      </c>
      <c r="R18">
        <v>57.73</v>
      </c>
      <c r="S18" t="b">
        <v>0</v>
      </c>
      <c r="T18" t="b">
        <v>0</v>
      </c>
      <c r="U18">
        <v>-0.147</v>
      </c>
      <c r="V18">
        <v>-0.3294</v>
      </c>
      <c r="W18" t="b">
        <v>1</v>
      </c>
      <c r="X18" t="b">
        <v>0</v>
      </c>
      <c r="Y18">
        <v>2114900</v>
      </c>
      <c r="Z18">
        <v>980020</v>
      </c>
      <c r="AA18" t="b">
        <v>1</v>
      </c>
      <c r="AB18">
        <v>39.29</v>
      </c>
      <c r="AC18">
        <v>41.11</v>
      </c>
      <c r="AD18">
        <v>37.47</v>
      </c>
      <c r="AE18">
        <v>0.825</v>
      </c>
      <c r="AF18">
        <v>0.093</v>
      </c>
      <c r="AG18">
        <v>40.79</v>
      </c>
      <c r="AH18">
        <v>36.68</v>
      </c>
      <c r="AI18" t="b">
        <v>0</v>
      </c>
      <c r="AJ18">
        <v>0.868</v>
      </c>
      <c r="AK18">
        <v>39.17</v>
      </c>
      <c r="AL18">
        <v>36.68</v>
      </c>
      <c r="AM18">
        <v>37.47</v>
      </c>
      <c r="AN18">
        <v>36.02</v>
      </c>
      <c r="AO18">
        <v>39.17</v>
      </c>
      <c r="AP18" t="s">
        <v>280</v>
      </c>
      <c r="AQ18">
        <v>36.02</v>
      </c>
      <c r="AR18">
        <v>44.52</v>
      </c>
      <c r="AS18">
        <v>0.05</v>
      </c>
      <c r="AT18">
        <v>0.07000000000000001</v>
      </c>
      <c r="AU18">
        <v>60</v>
      </c>
      <c r="AV18">
        <v>0.9101118355776447</v>
      </c>
      <c r="AW18">
        <v>5</v>
      </c>
      <c r="AX18">
        <v>6.75</v>
      </c>
      <c r="AY18">
        <v>224</v>
      </c>
      <c r="AZ18">
        <v>1000</v>
      </c>
      <c r="BA18">
        <v>15000</v>
      </c>
      <c r="BD18">
        <v>12.12</v>
      </c>
      <c r="BE18">
        <v>12.23</v>
      </c>
      <c r="BF18">
        <v>3.46</v>
      </c>
      <c r="BG18">
        <v>0.4</v>
      </c>
      <c r="BH18">
        <v>3.02</v>
      </c>
      <c r="BI18">
        <v>2.78</v>
      </c>
      <c r="BJ18">
        <v>15.85</v>
      </c>
      <c r="BK18">
        <v>15.77</v>
      </c>
      <c r="BM18">
        <v>2.47</v>
      </c>
      <c r="BN18" t="s">
        <v>293</v>
      </c>
      <c r="BO18" t="b">
        <v>0</v>
      </c>
      <c r="BP18" s="1">
        <f>IFERROR(RANK.EQ(AX18,AX$2:AX$213,0),"")</f>
        <v>0</v>
      </c>
      <c r="BQ18">
        <f>IFERROR(Y18/Z18,"")</f>
        <v>0</v>
      </c>
      <c r="BR18">
        <f>IFERROR(U18-V18,"")</f>
        <v>0</v>
      </c>
      <c r="BS18">
        <f>IFERROR(U18&gt;V18,"")</f>
        <v>0</v>
      </c>
      <c r="BT18">
        <f>IF(AND(ISNUMBER(D18),ISNUMBER(H18),D18&gt;=H18), OR(O18=TRUE,P18=TRUE), FALSE)</f>
        <v>0</v>
      </c>
      <c r="BU18">
        <f>AND(ISNUMBER(R18), R18&gt;=45, R18&lt;=60, W18=TRUE, E18&gt;=-20)</f>
        <v>0</v>
      </c>
      <c r="BV18">
        <f>OR(AI18=TRUE,AA18=TRUE)</f>
        <v>0</v>
      </c>
      <c r="BW18">
        <f>IFERROR( (AR18-D18) / MAX(D18-AQ18,1E-9) ,"")</f>
        <v>0</v>
      </c>
      <c r="BX18">
        <f>IFERROR(BW18&gt;=2, FALSE)</f>
        <v>0</v>
      </c>
      <c r="BY18" s="1">
        <f>IFERROR(ROUNDDOWN(MIN(IF(BA18&gt;0, BA18/D18, 1E99),IF(AZ18&gt;0, AZ18/MAX(D18-AQ18,1E-9), 1E99)),0),"")</f>
        <v>0</v>
      </c>
      <c r="BZ18" s="2">
        <f>IF(AND(ISNUMBER(D18),ISNUMBER(AT18)), D18*(1-AT18), "")</f>
        <v>0</v>
      </c>
      <c r="CA18">
        <f>AND(BT18=TRUE,BU18=TRUE,BV18=TRUE,BX18=TRUE)</f>
        <v>0</v>
      </c>
    </row>
    <row r="19" spans="1:79" x14ac:dyDescent="0.25">
      <c r="A19" t="s">
        <v>84</v>
      </c>
      <c r="B19">
        <f>HYPERLINK("data/charts/SPG.png", "Open")</f>
        <v>0</v>
      </c>
      <c r="C19" t="s">
        <v>279</v>
      </c>
      <c r="D19">
        <v>173.28</v>
      </c>
      <c r="E19">
        <v>-8.869999999999999</v>
      </c>
      <c r="F19">
        <v>27.09</v>
      </c>
      <c r="G19">
        <v>2.79</v>
      </c>
      <c r="H19">
        <v>168.58</v>
      </c>
      <c r="I19">
        <v>-0.0127</v>
      </c>
      <c r="J19" t="b">
        <v>0</v>
      </c>
      <c r="K19">
        <v>163.3</v>
      </c>
      <c r="L19">
        <v>166.75</v>
      </c>
      <c r="M19">
        <v>167.05</v>
      </c>
      <c r="N19">
        <v>164.66</v>
      </c>
      <c r="O19" t="b">
        <v>1</v>
      </c>
      <c r="P19" t="b">
        <v>1</v>
      </c>
      <c r="Q19" t="b">
        <v>1</v>
      </c>
      <c r="R19">
        <v>64.34999999999999</v>
      </c>
      <c r="S19" t="b">
        <v>0</v>
      </c>
      <c r="T19" t="b">
        <v>0</v>
      </c>
      <c r="U19">
        <v>2.2086</v>
      </c>
      <c r="V19">
        <v>1.4939</v>
      </c>
      <c r="W19" t="b">
        <v>1</v>
      </c>
      <c r="X19" t="b">
        <v>1</v>
      </c>
      <c r="Y19">
        <v>1581600</v>
      </c>
      <c r="Z19">
        <v>1525585</v>
      </c>
      <c r="AA19" t="b">
        <v>0</v>
      </c>
      <c r="AB19">
        <v>166.75</v>
      </c>
      <c r="AC19">
        <v>173.06</v>
      </c>
      <c r="AD19">
        <v>160.44</v>
      </c>
      <c r="AE19">
        <v>1.017</v>
      </c>
      <c r="AF19">
        <v>0.076</v>
      </c>
      <c r="AG19">
        <v>173.4</v>
      </c>
      <c r="AH19">
        <v>159.7</v>
      </c>
      <c r="AI19" t="b">
        <v>1</v>
      </c>
      <c r="AJ19">
        <v>3.699</v>
      </c>
      <c r="AK19">
        <v>167.73</v>
      </c>
      <c r="AL19">
        <v>163.29</v>
      </c>
      <c r="AM19">
        <v>160.44</v>
      </c>
      <c r="AN19">
        <v>154.22</v>
      </c>
      <c r="AO19">
        <v>167.73</v>
      </c>
      <c r="AP19" t="s">
        <v>280</v>
      </c>
      <c r="AQ19">
        <v>154.22</v>
      </c>
      <c r="AR19">
        <v>190.61</v>
      </c>
      <c r="AS19">
        <v>0.05</v>
      </c>
      <c r="AT19">
        <v>0.07000000000000001</v>
      </c>
      <c r="AU19">
        <v>60</v>
      </c>
      <c r="AV19">
        <v>0.9092341201788074</v>
      </c>
      <c r="AW19">
        <v>5</v>
      </c>
      <c r="AX19">
        <v>6.75</v>
      </c>
      <c r="AY19">
        <v>52</v>
      </c>
      <c r="AZ19">
        <v>1000</v>
      </c>
      <c r="BA19">
        <v>15000</v>
      </c>
      <c r="BD19">
        <v>26.82</v>
      </c>
      <c r="BE19">
        <v>25.56</v>
      </c>
      <c r="BF19">
        <v>4.96</v>
      </c>
      <c r="BG19">
        <v>1.29</v>
      </c>
      <c r="BH19">
        <v>8.380000000000001</v>
      </c>
      <c r="BI19">
        <v>1.73</v>
      </c>
      <c r="BJ19">
        <v>33.86</v>
      </c>
      <c r="BK19">
        <v>37.17</v>
      </c>
      <c r="BM19">
        <v>2.11</v>
      </c>
      <c r="BN19" t="s">
        <v>293</v>
      </c>
      <c r="BO19" t="b">
        <v>0</v>
      </c>
      <c r="BP19" s="1">
        <f>IFERROR(RANK.EQ(AX19,AX$2:AX$213,0),"")</f>
        <v>0</v>
      </c>
      <c r="BQ19">
        <f>IFERROR(Y19/Z19,"")</f>
        <v>0</v>
      </c>
      <c r="BR19">
        <f>IFERROR(U19-V19,"")</f>
        <v>0</v>
      </c>
      <c r="BS19">
        <f>IFERROR(U19&gt;V19,"")</f>
        <v>0</v>
      </c>
      <c r="BT19">
        <f>IF(AND(ISNUMBER(D19),ISNUMBER(H19),D19&gt;=H19), OR(O19=TRUE,P19=TRUE), FALSE)</f>
        <v>0</v>
      </c>
      <c r="BU19">
        <f>AND(ISNUMBER(R19), R19&gt;=45, R19&lt;=60, W19=TRUE, E19&gt;=-20)</f>
        <v>0</v>
      </c>
      <c r="BV19">
        <f>OR(AI19=TRUE,AA19=TRUE)</f>
        <v>0</v>
      </c>
      <c r="BW19">
        <f>IFERROR( (AR19-D19) / MAX(D19-AQ19,1E-9) ,"")</f>
        <v>0</v>
      </c>
      <c r="BX19">
        <f>IFERROR(BW19&gt;=2, FALSE)</f>
        <v>0</v>
      </c>
      <c r="BY19" s="1">
        <f>IFERROR(ROUNDDOWN(MIN(IF(BA19&gt;0, BA19/D19, 1E99),IF(AZ19&gt;0, AZ19/MAX(D19-AQ19,1E-9), 1E99)),0),"")</f>
        <v>0</v>
      </c>
      <c r="BZ19" s="2">
        <f>IF(AND(ISNUMBER(D19),ISNUMBER(AT19)), D19*(1-AT19), "")</f>
        <v>0</v>
      </c>
      <c r="CA19">
        <f>AND(BT19=TRUE,BU19=TRUE,BV19=TRUE,BX19=TRUE)</f>
        <v>0</v>
      </c>
    </row>
    <row r="20" spans="1:79" x14ac:dyDescent="0.25">
      <c r="A20" t="s">
        <v>85</v>
      </c>
      <c r="B20">
        <f>HYPERLINK("data/charts/BNS_TO.png", "Open")</f>
        <v>0</v>
      </c>
      <c r="C20" t="s">
        <v>279</v>
      </c>
      <c r="D20">
        <v>78.47</v>
      </c>
      <c r="E20">
        <v>-2.08</v>
      </c>
      <c r="F20">
        <v>25.41</v>
      </c>
      <c r="G20">
        <v>6.97</v>
      </c>
      <c r="H20">
        <v>73.34999999999999</v>
      </c>
      <c r="I20">
        <v>0.0296</v>
      </c>
      <c r="J20" t="b">
        <v>1</v>
      </c>
      <c r="K20">
        <v>75.61</v>
      </c>
      <c r="L20">
        <v>77.14</v>
      </c>
      <c r="M20">
        <v>76.98999999999999</v>
      </c>
      <c r="N20">
        <v>75.55</v>
      </c>
      <c r="O20" t="b">
        <v>1</v>
      </c>
      <c r="P20" t="b">
        <v>1</v>
      </c>
      <c r="Q20" t="b">
        <v>1</v>
      </c>
      <c r="R20">
        <v>73.76000000000001</v>
      </c>
      <c r="S20" t="b">
        <v>0</v>
      </c>
      <c r="T20" t="b">
        <v>0</v>
      </c>
      <c r="U20">
        <v>0.7349</v>
      </c>
      <c r="V20">
        <v>0.678</v>
      </c>
      <c r="W20" t="b">
        <v>1</v>
      </c>
      <c r="X20" t="b">
        <v>1</v>
      </c>
      <c r="Y20">
        <v>2380900</v>
      </c>
      <c r="Z20">
        <v>3603090</v>
      </c>
      <c r="AA20" t="b">
        <v>0</v>
      </c>
      <c r="AB20">
        <v>77.14</v>
      </c>
      <c r="AC20">
        <v>78.5</v>
      </c>
      <c r="AD20">
        <v>75.78</v>
      </c>
      <c r="AE20">
        <v>0.991</v>
      </c>
      <c r="AF20">
        <v>0.035</v>
      </c>
      <c r="AG20">
        <v>78.62</v>
      </c>
      <c r="AH20">
        <v>75.40000000000001</v>
      </c>
      <c r="AI20" t="b">
        <v>1</v>
      </c>
      <c r="AJ20">
        <v>0.554</v>
      </c>
      <c r="AK20">
        <v>77.64</v>
      </c>
      <c r="AL20">
        <v>76.34</v>
      </c>
      <c r="AM20">
        <v>75.78</v>
      </c>
      <c r="AN20">
        <v>69.84</v>
      </c>
      <c r="AO20">
        <v>77.64</v>
      </c>
      <c r="AP20" t="s">
        <v>280</v>
      </c>
      <c r="AQ20">
        <v>69.84</v>
      </c>
      <c r="AR20">
        <v>86.31999999999999</v>
      </c>
      <c r="AS20">
        <v>0.05</v>
      </c>
      <c r="AT20">
        <v>0.07000000000000001</v>
      </c>
      <c r="AU20">
        <v>60</v>
      </c>
      <c r="AV20">
        <v>0.9096173428649059</v>
      </c>
      <c r="AW20">
        <v>5</v>
      </c>
      <c r="AX20">
        <v>6.75</v>
      </c>
      <c r="AY20">
        <v>115</v>
      </c>
      <c r="AZ20">
        <v>1000</v>
      </c>
      <c r="BA20">
        <v>15000</v>
      </c>
      <c r="BD20">
        <v>16.45</v>
      </c>
      <c r="BE20">
        <v>11.16</v>
      </c>
      <c r="BF20">
        <v>5.61</v>
      </c>
      <c r="BG20">
        <v>0.89</v>
      </c>
      <c r="BH20">
        <v>3.49</v>
      </c>
      <c r="BI20">
        <v>-3.55</v>
      </c>
      <c r="BJ20">
        <v>80.48999999999999</v>
      </c>
      <c r="BK20">
        <v>22.13</v>
      </c>
      <c r="BM20">
        <v>-3.74</v>
      </c>
      <c r="BN20" t="s">
        <v>294</v>
      </c>
      <c r="BO20" t="b">
        <v>0</v>
      </c>
      <c r="BP20" s="1">
        <f>IFERROR(RANK.EQ(AX20,AX$2:AX$213,0),"")</f>
        <v>0</v>
      </c>
      <c r="BQ20">
        <f>IFERROR(Y20/Z20,"")</f>
        <v>0</v>
      </c>
      <c r="BR20">
        <f>IFERROR(U20-V20,"")</f>
        <v>0</v>
      </c>
      <c r="BS20">
        <f>IFERROR(U20&gt;V20,"")</f>
        <v>0</v>
      </c>
      <c r="BT20">
        <f>IF(AND(ISNUMBER(D20),ISNUMBER(H20),D20&gt;=H20), OR(O20=TRUE,P20=TRUE), FALSE)</f>
        <v>0</v>
      </c>
      <c r="BU20">
        <f>AND(ISNUMBER(R20), R20&gt;=45, R20&lt;=60, W20=TRUE, E20&gt;=-20)</f>
        <v>0</v>
      </c>
      <c r="BV20">
        <f>OR(AI20=TRUE,AA20=TRUE)</f>
        <v>0</v>
      </c>
      <c r="BW20">
        <f>IFERROR( (AR20-D20) / MAX(D20-AQ20,1E-9) ,"")</f>
        <v>0</v>
      </c>
      <c r="BX20">
        <f>IFERROR(BW20&gt;=2, FALSE)</f>
        <v>0</v>
      </c>
      <c r="BY20" s="1">
        <f>IFERROR(ROUNDDOWN(MIN(IF(BA20&gt;0, BA20/D20, 1E99),IF(AZ20&gt;0, AZ20/MAX(D20-AQ20,1E-9), 1E99)),0),"")</f>
        <v>0</v>
      </c>
      <c r="BZ20" s="2">
        <f>IF(AND(ISNUMBER(D20),ISNUMBER(AT20)), D20*(1-AT20), "")</f>
        <v>0</v>
      </c>
      <c r="CA20">
        <f>AND(BT20=TRUE,BU20=TRUE,BV20=TRUE,BX20=TRUE)</f>
        <v>0</v>
      </c>
    </row>
    <row r="21" spans="1:79" x14ac:dyDescent="0.25">
      <c r="A21" t="s">
        <v>86</v>
      </c>
      <c r="B21">
        <f>HYPERLINK("data/charts/NA_TO.png", "Open")</f>
        <v>0</v>
      </c>
      <c r="C21" t="s">
        <v>279</v>
      </c>
      <c r="D21">
        <v>150.51</v>
      </c>
      <c r="E21">
        <v>-0.59</v>
      </c>
      <c r="F21">
        <v>41.1</v>
      </c>
      <c r="G21">
        <v>15.45</v>
      </c>
      <c r="H21">
        <v>130.37</v>
      </c>
      <c r="I21">
        <v>0.0536</v>
      </c>
      <c r="J21" t="b">
        <v>1</v>
      </c>
      <c r="K21">
        <v>141.07</v>
      </c>
      <c r="L21">
        <v>145.5</v>
      </c>
      <c r="M21">
        <v>145.59</v>
      </c>
      <c r="N21">
        <v>141</v>
      </c>
      <c r="O21" t="b">
        <v>1</v>
      </c>
      <c r="P21" t="b">
        <v>1</v>
      </c>
      <c r="Q21" t="b">
        <v>1</v>
      </c>
      <c r="R21">
        <v>83.25</v>
      </c>
      <c r="S21" t="b">
        <v>0</v>
      </c>
      <c r="T21" t="b">
        <v>0</v>
      </c>
      <c r="U21">
        <v>2.4579</v>
      </c>
      <c r="V21">
        <v>2.1378</v>
      </c>
      <c r="W21" t="b">
        <v>1</v>
      </c>
      <c r="X21" t="b">
        <v>0</v>
      </c>
      <c r="Y21">
        <v>995000</v>
      </c>
      <c r="Z21">
        <v>1203580</v>
      </c>
      <c r="AA21" t="b">
        <v>0</v>
      </c>
      <c r="AB21">
        <v>145.5</v>
      </c>
      <c r="AC21">
        <v>150.04</v>
      </c>
      <c r="AD21">
        <v>140.96</v>
      </c>
      <c r="AE21">
        <v>1.051</v>
      </c>
      <c r="AF21">
        <v>0.062</v>
      </c>
      <c r="AG21">
        <v>151.4</v>
      </c>
      <c r="AH21">
        <v>142.03</v>
      </c>
      <c r="AI21" t="b">
        <v>1</v>
      </c>
      <c r="AJ21">
        <v>1.256</v>
      </c>
      <c r="AK21">
        <v>148.63</v>
      </c>
      <c r="AL21">
        <v>142.26</v>
      </c>
      <c r="AM21">
        <v>140.96</v>
      </c>
      <c r="AN21">
        <v>133.95</v>
      </c>
      <c r="AO21">
        <v>148.63</v>
      </c>
      <c r="AP21" t="s">
        <v>280</v>
      </c>
      <c r="AQ21">
        <v>133.95</v>
      </c>
      <c r="AR21">
        <v>165.56</v>
      </c>
      <c r="AS21">
        <v>0.05</v>
      </c>
      <c r="AT21">
        <v>0.07000000000000001</v>
      </c>
      <c r="AU21">
        <v>60</v>
      </c>
      <c r="AV21">
        <v>0.9088170582998345</v>
      </c>
      <c r="AW21">
        <v>5</v>
      </c>
      <c r="AX21">
        <v>6.75</v>
      </c>
      <c r="AY21">
        <v>60</v>
      </c>
      <c r="AZ21">
        <v>1000</v>
      </c>
      <c r="BA21">
        <v>15000</v>
      </c>
      <c r="BD21">
        <v>14.39</v>
      </c>
      <c r="BE21">
        <v>14.05</v>
      </c>
      <c r="BF21">
        <v>3.14</v>
      </c>
      <c r="BG21">
        <v>0.43</v>
      </c>
      <c r="BH21">
        <v>2.73</v>
      </c>
      <c r="BI21">
        <v>12.94</v>
      </c>
      <c r="BJ21">
        <v>-22.06</v>
      </c>
      <c r="BK21">
        <v>24.55</v>
      </c>
      <c r="BM21">
        <v>-11.99</v>
      </c>
      <c r="BN21" t="s">
        <v>295</v>
      </c>
      <c r="BO21" t="b">
        <v>0</v>
      </c>
      <c r="BP21" s="1">
        <f>IFERROR(RANK.EQ(AX21,AX$2:AX$213,0),"")</f>
        <v>0</v>
      </c>
      <c r="BQ21">
        <f>IFERROR(Y21/Z21,"")</f>
        <v>0</v>
      </c>
      <c r="BR21">
        <f>IFERROR(U21-V21,"")</f>
        <v>0</v>
      </c>
      <c r="BS21">
        <f>IFERROR(U21&gt;V21,"")</f>
        <v>0</v>
      </c>
      <c r="BT21">
        <f>IF(AND(ISNUMBER(D21),ISNUMBER(H21),D21&gt;=H21), OR(O21=TRUE,P21=TRUE), FALSE)</f>
        <v>0</v>
      </c>
      <c r="BU21">
        <f>AND(ISNUMBER(R21), R21&gt;=45, R21&lt;=60, W21=TRUE, E21&gt;=-20)</f>
        <v>0</v>
      </c>
      <c r="BV21">
        <f>OR(AI21=TRUE,AA21=TRUE)</f>
        <v>0</v>
      </c>
      <c r="BW21">
        <f>IFERROR( (AR21-D21) / MAX(D21-AQ21,1E-9) ,"")</f>
        <v>0</v>
      </c>
      <c r="BX21">
        <f>IFERROR(BW21&gt;=2, FALSE)</f>
        <v>0</v>
      </c>
      <c r="BY21" s="1">
        <f>IFERROR(ROUNDDOWN(MIN(IF(BA21&gt;0, BA21/D21, 1E99),IF(AZ21&gt;0, AZ21/MAX(D21-AQ21,1E-9), 1E99)),0),"")</f>
        <v>0</v>
      </c>
      <c r="BZ21" s="2">
        <f>IF(AND(ISNUMBER(D21),ISNUMBER(AT21)), D21*(1-AT21), "")</f>
        <v>0</v>
      </c>
      <c r="CA21">
        <f>AND(BT21=TRUE,BU21=TRUE,BV21=TRUE,BX21=TRUE)</f>
        <v>0</v>
      </c>
    </row>
    <row r="22" spans="1:79" x14ac:dyDescent="0.25">
      <c r="A22" t="s">
        <v>87</v>
      </c>
      <c r="B22">
        <f>HYPERLINK("data/charts/TFII_TO.png", "Open")</f>
        <v>0</v>
      </c>
      <c r="C22" t="s">
        <v>279</v>
      </c>
      <c r="D22">
        <v>125.33</v>
      </c>
      <c r="E22">
        <v>-42.9</v>
      </c>
      <c r="F22">
        <v>22.19</v>
      </c>
      <c r="G22">
        <v>-16.64</v>
      </c>
      <c r="H22">
        <v>150.34</v>
      </c>
      <c r="I22">
        <v>-0.2292</v>
      </c>
      <c r="J22" t="b">
        <v>0</v>
      </c>
      <c r="K22">
        <v>122.88</v>
      </c>
      <c r="L22">
        <v>122.4</v>
      </c>
      <c r="M22">
        <v>122.68</v>
      </c>
      <c r="N22">
        <v>122.66</v>
      </c>
      <c r="O22" t="b">
        <v>1</v>
      </c>
      <c r="P22" t="b">
        <v>1</v>
      </c>
      <c r="Q22" t="b">
        <v>1</v>
      </c>
      <c r="R22">
        <v>53.63</v>
      </c>
      <c r="S22" t="b">
        <v>0</v>
      </c>
      <c r="T22" t="b">
        <v>0</v>
      </c>
      <c r="U22">
        <v>0.1873</v>
      </c>
      <c r="V22">
        <v>-0.2539</v>
      </c>
      <c r="W22" t="b">
        <v>1</v>
      </c>
      <c r="X22" t="b">
        <v>1</v>
      </c>
      <c r="Y22">
        <v>160800</v>
      </c>
      <c r="Z22">
        <v>294160</v>
      </c>
      <c r="AA22" t="b">
        <v>0</v>
      </c>
      <c r="AB22">
        <v>122.4</v>
      </c>
      <c r="AC22">
        <v>129.08</v>
      </c>
      <c r="AD22">
        <v>115.71</v>
      </c>
      <c r="AE22">
        <v>0.719</v>
      </c>
      <c r="AF22">
        <v>0.109</v>
      </c>
      <c r="AG22">
        <v>131.93</v>
      </c>
      <c r="AH22">
        <v>115.02</v>
      </c>
      <c r="AI22" t="b">
        <v>0</v>
      </c>
      <c r="AJ22">
        <v>4.36</v>
      </c>
      <c r="AK22">
        <v>118.79</v>
      </c>
      <c r="AL22">
        <v>115.02</v>
      </c>
      <c r="AM22">
        <v>115.71</v>
      </c>
      <c r="AN22">
        <v>111.54</v>
      </c>
      <c r="AO22">
        <v>118.79</v>
      </c>
      <c r="AP22" t="s">
        <v>280</v>
      </c>
      <c r="AQ22">
        <v>111.54</v>
      </c>
      <c r="AR22">
        <v>137.86</v>
      </c>
      <c r="AS22">
        <v>0.05</v>
      </c>
      <c r="AT22">
        <v>0.07000000000000001</v>
      </c>
      <c r="AU22">
        <v>60</v>
      </c>
      <c r="AV22">
        <v>0.9086291881940245</v>
      </c>
      <c r="AW22">
        <v>5</v>
      </c>
      <c r="AX22">
        <v>6.5</v>
      </c>
      <c r="AY22">
        <v>72</v>
      </c>
      <c r="AZ22">
        <v>1000</v>
      </c>
      <c r="BA22">
        <v>15000</v>
      </c>
      <c r="BD22">
        <v>20.99</v>
      </c>
      <c r="BE22">
        <v>10.34</v>
      </c>
      <c r="BF22">
        <v>1.97</v>
      </c>
      <c r="BG22">
        <v>0.4</v>
      </c>
      <c r="BH22">
        <v>1.13</v>
      </c>
      <c r="BI22">
        <v>3.73</v>
      </c>
      <c r="BJ22">
        <v>76.12</v>
      </c>
      <c r="BK22">
        <v>4.82</v>
      </c>
      <c r="BM22">
        <v>-1.39</v>
      </c>
      <c r="BN22" t="s">
        <v>289</v>
      </c>
      <c r="BO22" t="b">
        <v>0</v>
      </c>
      <c r="BP22" s="1">
        <f>IFERROR(RANK.EQ(AX22,AX$2:AX$213,0),"")</f>
        <v>0</v>
      </c>
      <c r="BQ22">
        <f>IFERROR(Y22/Z22,"")</f>
        <v>0</v>
      </c>
      <c r="BR22">
        <f>IFERROR(U22-V22,"")</f>
        <v>0</v>
      </c>
      <c r="BS22">
        <f>IFERROR(U22&gt;V22,"")</f>
        <v>0</v>
      </c>
      <c r="BT22">
        <f>IF(AND(ISNUMBER(D22),ISNUMBER(H22),D22&gt;=H22), OR(O22=TRUE,P22=TRUE), FALSE)</f>
        <v>0</v>
      </c>
      <c r="BU22">
        <f>AND(ISNUMBER(R22), R22&gt;=45, R22&lt;=60, W22=TRUE, E22&gt;=-20)</f>
        <v>0</v>
      </c>
      <c r="BV22">
        <f>OR(AI22=TRUE,AA22=TRUE)</f>
        <v>0</v>
      </c>
      <c r="BW22">
        <f>IFERROR( (AR22-D22) / MAX(D22-AQ22,1E-9) ,"")</f>
        <v>0</v>
      </c>
      <c r="BX22">
        <f>IFERROR(BW22&gt;=2, FALSE)</f>
        <v>0</v>
      </c>
      <c r="BY22" s="1">
        <f>IFERROR(ROUNDDOWN(MIN(IF(BA22&gt;0, BA22/D22, 1E99),IF(AZ22&gt;0, AZ22/MAX(D22-AQ22,1E-9), 1E99)),0),"")</f>
        <v>0</v>
      </c>
      <c r="BZ22" s="2">
        <f>IF(AND(ISNUMBER(D22),ISNUMBER(AT22)), D22*(1-AT22), "")</f>
        <v>0</v>
      </c>
      <c r="CA22">
        <f>AND(BT22=TRUE,BU22=TRUE,BV22=TRUE,BX22=TRUE)</f>
        <v>0</v>
      </c>
    </row>
    <row r="23" spans="1:79" x14ac:dyDescent="0.25">
      <c r="A23" t="s">
        <v>88</v>
      </c>
      <c r="B23">
        <f>HYPERLINK("data/charts/FVI_TO.png", "Open")</f>
        <v>0</v>
      </c>
      <c r="C23" t="s">
        <v>279</v>
      </c>
      <c r="D23">
        <v>10.08</v>
      </c>
      <c r="E23">
        <v>-2.33</v>
      </c>
      <c r="F23">
        <v>79.36</v>
      </c>
      <c r="G23">
        <v>28.98</v>
      </c>
      <c r="H23">
        <v>7.82</v>
      </c>
      <c r="I23">
        <v>0.172</v>
      </c>
      <c r="J23" t="b">
        <v>1</v>
      </c>
      <c r="K23">
        <v>9.24</v>
      </c>
      <c r="L23">
        <v>9.34</v>
      </c>
      <c r="M23">
        <v>9.390000000000001</v>
      </c>
      <c r="N23">
        <v>9.130000000000001</v>
      </c>
      <c r="O23" t="b">
        <v>1</v>
      </c>
      <c r="P23" t="b">
        <v>1</v>
      </c>
      <c r="Q23" t="b">
        <v>1</v>
      </c>
      <c r="R23">
        <v>60.54</v>
      </c>
      <c r="S23" t="b">
        <v>0</v>
      </c>
      <c r="T23" t="b">
        <v>0</v>
      </c>
      <c r="U23">
        <v>0.2043</v>
      </c>
      <c r="V23">
        <v>0.1094</v>
      </c>
      <c r="W23" t="b">
        <v>1</v>
      </c>
      <c r="X23" t="b">
        <v>0</v>
      </c>
      <c r="Y23">
        <v>1678300</v>
      </c>
      <c r="Z23">
        <v>1113790</v>
      </c>
      <c r="AA23" t="b">
        <v>1</v>
      </c>
      <c r="AB23">
        <v>9.34</v>
      </c>
      <c r="AC23">
        <v>10.18</v>
      </c>
      <c r="AD23">
        <v>8.5</v>
      </c>
      <c r="AE23">
        <v>0.9419999999999999</v>
      </c>
      <c r="AF23">
        <v>0.18</v>
      </c>
      <c r="AG23">
        <v>10.32</v>
      </c>
      <c r="AH23">
        <v>8.49</v>
      </c>
      <c r="AI23" t="b">
        <v>0</v>
      </c>
      <c r="AJ23">
        <v>0.418</v>
      </c>
      <c r="AK23">
        <v>9.449999999999999</v>
      </c>
      <c r="AL23">
        <v>8.49</v>
      </c>
      <c r="AM23">
        <v>8.5</v>
      </c>
      <c r="AN23">
        <v>8.970000000000001</v>
      </c>
      <c r="AO23">
        <v>9.449999999999999</v>
      </c>
      <c r="AP23" t="s">
        <v>280</v>
      </c>
      <c r="AQ23">
        <v>8.970000000000001</v>
      </c>
      <c r="AR23">
        <v>11.09</v>
      </c>
      <c r="AS23">
        <v>0.05</v>
      </c>
      <c r="AT23">
        <v>0.07000000000000001</v>
      </c>
      <c r="AU23">
        <v>60</v>
      </c>
      <c r="AV23">
        <v>0.9099100411842997</v>
      </c>
      <c r="AW23">
        <v>5</v>
      </c>
      <c r="AX23">
        <v>6.5</v>
      </c>
      <c r="AY23">
        <v>900</v>
      </c>
      <c r="AZ23">
        <v>1000</v>
      </c>
      <c r="BA23">
        <v>15000</v>
      </c>
      <c r="BD23">
        <v>13.26</v>
      </c>
      <c r="BE23">
        <v>10.96</v>
      </c>
      <c r="BG23">
        <v>0</v>
      </c>
      <c r="BH23">
        <v>0.14</v>
      </c>
      <c r="BI23">
        <v>-20.58</v>
      </c>
      <c r="BJ23">
        <v>-36.84</v>
      </c>
      <c r="BK23">
        <v>16.19</v>
      </c>
      <c r="BM23">
        <v>-1.62</v>
      </c>
      <c r="BN23" t="s">
        <v>296</v>
      </c>
      <c r="BO23" t="b">
        <v>0</v>
      </c>
      <c r="BP23" s="1">
        <f>IFERROR(RANK.EQ(AX23,AX$2:AX$213,0),"")</f>
        <v>0</v>
      </c>
      <c r="BQ23">
        <f>IFERROR(Y23/Z23,"")</f>
        <v>0</v>
      </c>
      <c r="BR23">
        <f>IFERROR(U23-V23,"")</f>
        <v>0</v>
      </c>
      <c r="BS23">
        <f>IFERROR(U23&gt;V23,"")</f>
        <v>0</v>
      </c>
      <c r="BT23">
        <f>IF(AND(ISNUMBER(D23),ISNUMBER(H23),D23&gt;=H23), OR(O23=TRUE,P23=TRUE), FALSE)</f>
        <v>0</v>
      </c>
      <c r="BU23">
        <f>AND(ISNUMBER(R23), R23&gt;=45, R23&lt;=60, W23=TRUE, E23&gt;=-20)</f>
        <v>0</v>
      </c>
      <c r="BV23">
        <f>OR(AI23=TRUE,AA23=TRUE)</f>
        <v>0</v>
      </c>
      <c r="BW23">
        <f>IFERROR( (AR23-D23) / MAX(D23-AQ23,1E-9) ,"")</f>
        <v>0</v>
      </c>
      <c r="BX23">
        <f>IFERROR(BW23&gt;=2, FALSE)</f>
        <v>0</v>
      </c>
      <c r="BY23" s="1">
        <f>IFERROR(ROUNDDOWN(MIN(IF(BA23&gt;0, BA23/D23, 1E99),IF(AZ23&gt;0, AZ23/MAX(D23-AQ23,1E-9), 1E99)),0),"")</f>
        <v>0</v>
      </c>
      <c r="BZ23" s="2">
        <f>IF(AND(ISNUMBER(D23),ISNUMBER(AT23)), D23*(1-AT23), "")</f>
        <v>0</v>
      </c>
      <c r="CA23">
        <f>AND(BT23=TRUE,BU23=TRUE,BV23=TRUE,BX23=TRUE)</f>
        <v>0</v>
      </c>
    </row>
    <row r="24" spans="1:79" x14ac:dyDescent="0.25">
      <c r="A24" t="s">
        <v>89</v>
      </c>
      <c r="B24">
        <f>HYPERLINK("data/charts/CCL-B_TO.png", "Open")</f>
        <v>0</v>
      </c>
      <c r="C24" t="s">
        <v>279</v>
      </c>
      <c r="D24">
        <v>80.64</v>
      </c>
      <c r="E24">
        <v>-4.79</v>
      </c>
      <c r="F24">
        <v>24.2</v>
      </c>
      <c r="G24">
        <v>7.27</v>
      </c>
      <c r="H24">
        <v>75.18000000000001</v>
      </c>
      <c r="I24">
        <v>-0.0111</v>
      </c>
      <c r="J24" t="b">
        <v>0</v>
      </c>
      <c r="K24">
        <v>78.84999999999999</v>
      </c>
      <c r="L24">
        <v>78.75</v>
      </c>
      <c r="M24">
        <v>79.03</v>
      </c>
      <c r="N24">
        <v>78.41</v>
      </c>
      <c r="O24" t="b">
        <v>1</v>
      </c>
      <c r="P24" t="b">
        <v>1</v>
      </c>
      <c r="Q24" t="b">
        <v>1</v>
      </c>
      <c r="R24">
        <v>61.72</v>
      </c>
      <c r="S24" t="b">
        <v>0</v>
      </c>
      <c r="T24" t="b">
        <v>0</v>
      </c>
      <c r="U24">
        <v>0.2599</v>
      </c>
      <c r="V24">
        <v>-0.0212</v>
      </c>
      <c r="W24" t="b">
        <v>1</v>
      </c>
      <c r="X24" t="b">
        <v>1</v>
      </c>
      <c r="Y24">
        <v>306400</v>
      </c>
      <c r="Z24">
        <v>191880</v>
      </c>
      <c r="AA24" t="b">
        <v>1</v>
      </c>
      <c r="AB24">
        <v>78.75</v>
      </c>
      <c r="AC24">
        <v>80.98</v>
      </c>
      <c r="AD24">
        <v>76.53</v>
      </c>
      <c r="AE24">
        <v>0.924</v>
      </c>
      <c r="AF24">
        <v>0.056</v>
      </c>
      <c r="AG24">
        <v>83.06999999999999</v>
      </c>
      <c r="AH24">
        <v>75.34999999999999</v>
      </c>
      <c r="AI24" t="b">
        <v>0</v>
      </c>
      <c r="AJ24">
        <v>1.377</v>
      </c>
      <c r="AK24">
        <v>78.56999999999999</v>
      </c>
      <c r="AL24">
        <v>75.34999999999999</v>
      </c>
      <c r="AM24">
        <v>76.53</v>
      </c>
      <c r="AN24">
        <v>71.77</v>
      </c>
      <c r="AO24">
        <v>78.56999999999999</v>
      </c>
      <c r="AP24" t="s">
        <v>280</v>
      </c>
      <c r="AQ24">
        <v>71.77</v>
      </c>
      <c r="AR24">
        <v>88.7</v>
      </c>
      <c r="AS24">
        <v>0.05</v>
      </c>
      <c r="AT24">
        <v>0.07000000000000001</v>
      </c>
      <c r="AU24">
        <v>60</v>
      </c>
      <c r="AV24">
        <v>0.9086810783502229</v>
      </c>
      <c r="AW24">
        <v>5</v>
      </c>
      <c r="AX24">
        <v>6.5</v>
      </c>
      <c r="AY24">
        <v>112</v>
      </c>
      <c r="AZ24">
        <v>1000</v>
      </c>
      <c r="BA24">
        <v>15000</v>
      </c>
      <c r="BD24">
        <v>18.08</v>
      </c>
      <c r="BE24">
        <v>17.68</v>
      </c>
      <c r="BF24">
        <v>1.59</v>
      </c>
      <c r="BG24">
        <v>0.27</v>
      </c>
      <c r="BH24">
        <v>0.48</v>
      </c>
      <c r="BI24">
        <v>2.52</v>
      </c>
      <c r="BJ24">
        <v>2.54</v>
      </c>
      <c r="BK24">
        <v>11.02</v>
      </c>
      <c r="BM24">
        <v>-0.76</v>
      </c>
      <c r="BN24" t="s">
        <v>297</v>
      </c>
      <c r="BO24" t="b">
        <v>0</v>
      </c>
      <c r="BP24" s="1">
        <f>IFERROR(RANK.EQ(AX24,AX$2:AX$213,0),"")</f>
        <v>0</v>
      </c>
      <c r="BQ24">
        <f>IFERROR(Y24/Z24,"")</f>
        <v>0</v>
      </c>
      <c r="BR24">
        <f>IFERROR(U24-V24,"")</f>
        <v>0</v>
      </c>
      <c r="BS24">
        <f>IFERROR(U24&gt;V24,"")</f>
        <v>0</v>
      </c>
      <c r="BT24">
        <f>IF(AND(ISNUMBER(D24),ISNUMBER(H24),D24&gt;=H24), OR(O24=TRUE,P24=TRUE), FALSE)</f>
        <v>0</v>
      </c>
      <c r="BU24">
        <f>AND(ISNUMBER(R24), R24&gt;=45, R24&lt;=60, W24=TRUE, E24&gt;=-20)</f>
        <v>0</v>
      </c>
      <c r="BV24">
        <f>OR(AI24=TRUE,AA24=TRUE)</f>
        <v>0</v>
      </c>
      <c r="BW24">
        <f>IFERROR( (AR24-D24) / MAX(D24-AQ24,1E-9) ,"")</f>
        <v>0</v>
      </c>
      <c r="BX24">
        <f>IFERROR(BW24&gt;=2, FALSE)</f>
        <v>0</v>
      </c>
      <c r="BY24" s="1">
        <f>IFERROR(ROUNDDOWN(MIN(IF(BA24&gt;0, BA24/D24, 1E99),IF(AZ24&gt;0, AZ24/MAX(D24-AQ24,1E-9), 1E99)),0),"")</f>
        <v>0</v>
      </c>
      <c r="BZ24" s="2">
        <f>IF(AND(ISNUMBER(D24),ISNUMBER(AT24)), D24*(1-AT24), "")</f>
        <v>0</v>
      </c>
      <c r="CA24">
        <f>AND(BT24=TRUE,BU24=TRUE,BV24=TRUE,BX24=TRUE)</f>
        <v>0</v>
      </c>
    </row>
    <row r="25" spans="1:79" x14ac:dyDescent="0.25">
      <c r="A25" t="s">
        <v>90</v>
      </c>
      <c r="B25">
        <f>HYPERLINK("data/charts/NWC_TO.png", "Open")</f>
        <v>0</v>
      </c>
      <c r="C25" t="s">
        <v>279</v>
      </c>
      <c r="D25">
        <v>50.51</v>
      </c>
      <c r="E25">
        <v>-12.84</v>
      </c>
      <c r="F25">
        <v>13.56</v>
      </c>
      <c r="G25">
        <v>0.61</v>
      </c>
      <c r="H25">
        <v>50.2</v>
      </c>
      <c r="I25">
        <v>-0.0229</v>
      </c>
      <c r="J25" t="b">
        <v>0</v>
      </c>
      <c r="K25">
        <v>48.86</v>
      </c>
      <c r="L25">
        <v>47.96</v>
      </c>
      <c r="M25">
        <v>48.43</v>
      </c>
      <c r="N25">
        <v>49.18</v>
      </c>
      <c r="O25" t="b">
        <v>1</v>
      </c>
      <c r="P25" t="b">
        <v>1</v>
      </c>
      <c r="Q25" t="b">
        <v>1</v>
      </c>
      <c r="R25">
        <v>63.35</v>
      </c>
      <c r="S25" t="b">
        <v>0</v>
      </c>
      <c r="T25" t="b">
        <v>0</v>
      </c>
      <c r="U25">
        <v>0.1382</v>
      </c>
      <c r="V25">
        <v>-0.2179</v>
      </c>
      <c r="W25" t="b">
        <v>0</v>
      </c>
      <c r="X25" t="b">
        <v>1</v>
      </c>
      <c r="Y25">
        <v>226900</v>
      </c>
      <c r="Z25">
        <v>117660</v>
      </c>
      <c r="AA25" t="b">
        <v>1</v>
      </c>
      <c r="AB25">
        <v>47.96</v>
      </c>
      <c r="AC25">
        <v>49.87</v>
      </c>
      <c r="AD25">
        <v>46.05</v>
      </c>
      <c r="AE25">
        <v>1.168</v>
      </c>
      <c r="AF25">
        <v>0.08</v>
      </c>
      <c r="AG25">
        <v>50.59</v>
      </c>
      <c r="AH25">
        <v>46.15</v>
      </c>
      <c r="AI25" t="b">
        <v>1</v>
      </c>
      <c r="AJ25">
        <v>0.926</v>
      </c>
      <c r="AK25">
        <v>49.12</v>
      </c>
      <c r="AL25">
        <v>47.51</v>
      </c>
      <c r="AM25">
        <v>46.05</v>
      </c>
      <c r="AN25">
        <v>44.95</v>
      </c>
      <c r="AO25">
        <v>49.12</v>
      </c>
      <c r="AP25" t="s">
        <v>280</v>
      </c>
      <c r="AQ25">
        <v>44.95</v>
      </c>
      <c r="AR25">
        <v>55.56</v>
      </c>
      <c r="AS25">
        <v>0.05</v>
      </c>
      <c r="AT25">
        <v>0.07000000000000001</v>
      </c>
      <c r="AU25">
        <v>60</v>
      </c>
      <c r="AV25">
        <v>0.9082739573695111</v>
      </c>
      <c r="AW25">
        <v>5</v>
      </c>
      <c r="AX25">
        <v>6.5</v>
      </c>
      <c r="AY25">
        <v>179</v>
      </c>
      <c r="AZ25">
        <v>1000</v>
      </c>
      <c r="BA25">
        <v>15000</v>
      </c>
      <c r="BD25">
        <v>17.85</v>
      </c>
      <c r="BE25">
        <v>14.56</v>
      </c>
      <c r="BF25">
        <v>3.17</v>
      </c>
      <c r="BG25">
        <v>0.5600000000000001</v>
      </c>
      <c r="BH25">
        <v>0.54</v>
      </c>
      <c r="BI25">
        <v>-4.97</v>
      </c>
      <c r="BJ25">
        <v>-37.13</v>
      </c>
      <c r="BK25">
        <v>4.03</v>
      </c>
      <c r="BM25">
        <v>14.87</v>
      </c>
      <c r="BN25" t="s">
        <v>288</v>
      </c>
      <c r="BO25" t="b">
        <v>0</v>
      </c>
      <c r="BP25" s="1">
        <f>IFERROR(RANK.EQ(AX25,AX$2:AX$213,0),"")</f>
        <v>0</v>
      </c>
      <c r="BQ25">
        <f>IFERROR(Y25/Z25,"")</f>
        <v>0</v>
      </c>
      <c r="BR25">
        <f>IFERROR(U25-V25,"")</f>
        <v>0</v>
      </c>
      <c r="BS25">
        <f>IFERROR(U25&gt;V25,"")</f>
        <v>0</v>
      </c>
      <c r="BT25">
        <f>IF(AND(ISNUMBER(D25),ISNUMBER(H25),D25&gt;=H25), OR(O25=TRUE,P25=TRUE), FALSE)</f>
        <v>0</v>
      </c>
      <c r="BU25">
        <f>AND(ISNUMBER(R25), R25&gt;=45, R25&lt;=60, W25=TRUE, E25&gt;=-20)</f>
        <v>0</v>
      </c>
      <c r="BV25">
        <f>OR(AI25=TRUE,AA25=TRUE)</f>
        <v>0</v>
      </c>
      <c r="BW25">
        <f>IFERROR( (AR25-D25) / MAX(D25-AQ25,1E-9) ,"")</f>
        <v>0</v>
      </c>
      <c r="BX25">
        <f>IFERROR(BW25&gt;=2, FALSE)</f>
        <v>0</v>
      </c>
      <c r="BY25" s="1">
        <f>IFERROR(ROUNDDOWN(MIN(IF(BA25&gt;0, BA25/D25, 1E99),IF(AZ25&gt;0, AZ25/MAX(D25-AQ25,1E-9), 1E99)),0),"")</f>
        <v>0</v>
      </c>
      <c r="BZ25" s="2">
        <f>IF(AND(ISNUMBER(D25),ISNUMBER(AT25)), D25*(1-AT25), "")</f>
        <v>0</v>
      </c>
      <c r="CA25">
        <f>AND(BT25=TRUE,BU25=TRUE,BV25=TRUE,BX25=TRUE)</f>
        <v>0</v>
      </c>
    </row>
    <row r="26" spans="1:79" x14ac:dyDescent="0.25">
      <c r="A26" t="s">
        <v>91</v>
      </c>
      <c r="B26">
        <f>HYPERLINK("data/charts/PEP.png", "Open")</f>
        <v>0</v>
      </c>
      <c r="C26" t="s">
        <v>279</v>
      </c>
      <c r="D26">
        <v>150.4</v>
      </c>
      <c r="E26">
        <v>-16.32</v>
      </c>
      <c r="F26">
        <v>17.87</v>
      </c>
      <c r="G26">
        <v>3.22</v>
      </c>
      <c r="H26">
        <v>145.71</v>
      </c>
      <c r="I26">
        <v>-0.1247</v>
      </c>
      <c r="J26" t="b">
        <v>0</v>
      </c>
      <c r="K26">
        <v>137.32</v>
      </c>
      <c r="L26">
        <v>143.8</v>
      </c>
      <c r="M26">
        <v>143.46</v>
      </c>
      <c r="N26">
        <v>139.98</v>
      </c>
      <c r="O26" t="b">
        <v>1</v>
      </c>
      <c r="P26" t="b">
        <v>1</v>
      </c>
      <c r="Q26" t="b">
        <v>1</v>
      </c>
      <c r="R26">
        <v>68.42</v>
      </c>
      <c r="S26" t="b">
        <v>0</v>
      </c>
      <c r="T26" t="b">
        <v>0</v>
      </c>
      <c r="U26">
        <v>2.9811</v>
      </c>
      <c r="V26">
        <v>2.3854</v>
      </c>
      <c r="W26" t="b">
        <v>1</v>
      </c>
      <c r="X26" t="b">
        <v>1</v>
      </c>
      <c r="Y26">
        <v>9161600</v>
      </c>
      <c r="Z26">
        <v>7776240</v>
      </c>
      <c r="AA26" t="b">
        <v>0</v>
      </c>
      <c r="AB26">
        <v>143.8</v>
      </c>
      <c r="AC26">
        <v>150.59</v>
      </c>
      <c r="AD26">
        <v>137.01</v>
      </c>
      <c r="AE26">
        <v>0.986</v>
      </c>
      <c r="AF26">
        <v>0.094</v>
      </c>
      <c r="AG26">
        <v>151.1</v>
      </c>
      <c r="AH26">
        <v>137.64</v>
      </c>
      <c r="AI26" t="b">
        <v>1</v>
      </c>
      <c r="AJ26">
        <v>2.256</v>
      </c>
      <c r="AK26">
        <v>147.02</v>
      </c>
      <c r="AL26">
        <v>137.64</v>
      </c>
      <c r="AM26">
        <v>137.01</v>
      </c>
      <c r="AN26">
        <v>133.86</v>
      </c>
      <c r="AO26">
        <v>147.02</v>
      </c>
      <c r="AP26" t="s">
        <v>280</v>
      </c>
      <c r="AQ26">
        <v>133.86</v>
      </c>
      <c r="AR26">
        <v>165.44</v>
      </c>
      <c r="AS26">
        <v>0.05</v>
      </c>
      <c r="AT26">
        <v>0.07000000000000001</v>
      </c>
      <c r="AU26">
        <v>60</v>
      </c>
      <c r="AV26">
        <v>0.909311466355041</v>
      </c>
      <c r="AW26">
        <v>5</v>
      </c>
      <c r="AX26">
        <v>6.5</v>
      </c>
      <c r="AY26">
        <v>60</v>
      </c>
      <c r="AZ26">
        <v>1000</v>
      </c>
      <c r="BA26">
        <v>15000</v>
      </c>
      <c r="BD26">
        <v>27.4</v>
      </c>
      <c r="BE26">
        <v>17.43</v>
      </c>
      <c r="BF26">
        <v>3.78</v>
      </c>
      <c r="BG26">
        <v>1</v>
      </c>
      <c r="BH26">
        <v>2.77</v>
      </c>
      <c r="BI26">
        <v>26.83</v>
      </c>
      <c r="BJ26">
        <v>-31.34</v>
      </c>
      <c r="BK26">
        <v>5.56</v>
      </c>
      <c r="BM26">
        <v>-0.46</v>
      </c>
      <c r="BN26" t="s">
        <v>292</v>
      </c>
      <c r="BO26" t="b">
        <v>0</v>
      </c>
      <c r="BP26" s="1">
        <f>IFERROR(RANK.EQ(AX26,AX$2:AX$213,0),"")</f>
        <v>0</v>
      </c>
      <c r="BQ26">
        <f>IFERROR(Y26/Z26,"")</f>
        <v>0</v>
      </c>
      <c r="BR26">
        <f>IFERROR(U26-V26,"")</f>
        <v>0</v>
      </c>
      <c r="BS26">
        <f>IFERROR(U26&gt;V26,"")</f>
        <v>0</v>
      </c>
      <c r="BT26">
        <f>IF(AND(ISNUMBER(D26),ISNUMBER(H26),D26&gt;=H26), OR(O26=TRUE,P26=TRUE), FALSE)</f>
        <v>0</v>
      </c>
      <c r="BU26">
        <f>AND(ISNUMBER(R26), R26&gt;=45, R26&lt;=60, W26=TRUE, E26&gt;=-20)</f>
        <v>0</v>
      </c>
      <c r="BV26">
        <f>OR(AI26=TRUE,AA26=TRUE)</f>
        <v>0</v>
      </c>
      <c r="BW26">
        <f>IFERROR( (AR26-D26) / MAX(D26-AQ26,1E-9) ,"")</f>
        <v>0</v>
      </c>
      <c r="BX26">
        <f>IFERROR(BW26&gt;=2, FALSE)</f>
        <v>0</v>
      </c>
      <c r="BY26" s="1">
        <f>IFERROR(ROUNDDOWN(MIN(IF(BA26&gt;0, BA26/D26, 1E99),IF(AZ26&gt;0, AZ26/MAX(D26-AQ26,1E-9), 1E99)),0),"")</f>
        <v>0</v>
      </c>
      <c r="BZ26" s="2">
        <f>IF(AND(ISNUMBER(D26),ISNUMBER(AT26)), D26*(1-AT26), "")</f>
        <v>0</v>
      </c>
      <c r="CA26">
        <f>AND(BT26=TRUE,BU26=TRUE,BV26=TRUE,BX26=TRUE)</f>
        <v>0</v>
      </c>
    </row>
    <row r="27" spans="1:79" x14ac:dyDescent="0.25">
      <c r="A27" t="s">
        <v>92</v>
      </c>
      <c r="B27">
        <f>HYPERLINK("data/charts/UAL.png", "Open")</f>
        <v>0</v>
      </c>
      <c r="C27" t="s">
        <v>279</v>
      </c>
      <c r="D27">
        <v>100.93</v>
      </c>
      <c r="E27">
        <v>-12.99</v>
      </c>
      <c r="F27">
        <v>151.51</v>
      </c>
      <c r="G27">
        <v>16.41</v>
      </c>
      <c r="H27">
        <v>86.7</v>
      </c>
      <c r="I27">
        <v>0.1796</v>
      </c>
      <c r="J27" t="b">
        <v>1</v>
      </c>
      <c r="K27">
        <v>85.45999999999999</v>
      </c>
      <c r="L27">
        <v>91.45</v>
      </c>
      <c r="M27">
        <v>91.67</v>
      </c>
      <c r="N27">
        <v>87.04000000000001</v>
      </c>
      <c r="O27" t="b">
        <v>1</v>
      </c>
      <c r="P27" t="b">
        <v>1</v>
      </c>
      <c r="Q27" t="b">
        <v>1</v>
      </c>
      <c r="R27">
        <v>70.98</v>
      </c>
      <c r="S27" t="b">
        <v>0</v>
      </c>
      <c r="T27" t="b">
        <v>0</v>
      </c>
      <c r="U27">
        <v>3.4082</v>
      </c>
      <c r="V27">
        <v>2.4039</v>
      </c>
      <c r="W27" t="b">
        <v>1</v>
      </c>
      <c r="X27" t="b">
        <v>1</v>
      </c>
      <c r="Y27">
        <v>6340900</v>
      </c>
      <c r="Z27">
        <v>5637610</v>
      </c>
      <c r="AA27" t="b">
        <v>0</v>
      </c>
      <c r="AB27">
        <v>91.45</v>
      </c>
      <c r="AC27">
        <v>100.35</v>
      </c>
      <c r="AD27">
        <v>82.56</v>
      </c>
      <c r="AE27">
        <v>1.033</v>
      </c>
      <c r="AF27">
        <v>0.194</v>
      </c>
      <c r="AG27">
        <v>101.47</v>
      </c>
      <c r="AH27">
        <v>82.42</v>
      </c>
      <c r="AI27" t="b">
        <v>1</v>
      </c>
      <c r="AJ27">
        <v>2.784</v>
      </c>
      <c r="AK27">
        <v>96.75</v>
      </c>
      <c r="AL27">
        <v>82.42</v>
      </c>
      <c r="AM27">
        <v>82.56</v>
      </c>
      <c r="AN27">
        <v>89.83</v>
      </c>
      <c r="AO27">
        <v>96.75</v>
      </c>
      <c r="AP27" t="s">
        <v>280</v>
      </c>
      <c r="AQ27">
        <v>89.83</v>
      </c>
      <c r="AR27">
        <v>111.02</v>
      </c>
      <c r="AS27">
        <v>0.05</v>
      </c>
      <c r="AT27">
        <v>0.07000000000000001</v>
      </c>
      <c r="AU27">
        <v>60</v>
      </c>
      <c r="AV27">
        <v>0.9090089565240266</v>
      </c>
      <c r="AW27">
        <v>5</v>
      </c>
      <c r="AX27">
        <v>6.5</v>
      </c>
      <c r="AY27">
        <v>90</v>
      </c>
      <c r="AZ27">
        <v>1000</v>
      </c>
      <c r="BA27">
        <v>15000</v>
      </c>
      <c r="BD27">
        <v>10.12</v>
      </c>
      <c r="BE27">
        <v>8.35</v>
      </c>
      <c r="BG27">
        <v>0</v>
      </c>
      <c r="BH27">
        <v>2.45</v>
      </c>
      <c r="BI27">
        <v>15.32</v>
      </c>
      <c r="BJ27">
        <v>154.29</v>
      </c>
      <c r="BK27">
        <v>6.39</v>
      </c>
      <c r="BM27">
        <v>-0.38</v>
      </c>
      <c r="BN27" t="s">
        <v>298</v>
      </c>
      <c r="BO27" t="b">
        <v>0</v>
      </c>
      <c r="BP27" s="1">
        <f>IFERROR(RANK.EQ(AX27,AX$2:AX$213,0),"")</f>
        <v>0</v>
      </c>
      <c r="BQ27">
        <f>IFERROR(Y27/Z27,"")</f>
        <v>0</v>
      </c>
      <c r="BR27">
        <f>IFERROR(U27-V27,"")</f>
        <v>0</v>
      </c>
      <c r="BS27">
        <f>IFERROR(U27&gt;V27,"")</f>
        <v>0</v>
      </c>
      <c r="BT27">
        <f>IF(AND(ISNUMBER(D27),ISNUMBER(H27),D27&gt;=H27), OR(O27=TRUE,P27=TRUE), FALSE)</f>
        <v>0</v>
      </c>
      <c r="BU27">
        <f>AND(ISNUMBER(R27), R27&gt;=45, R27&lt;=60, W27=TRUE, E27&gt;=-20)</f>
        <v>0</v>
      </c>
      <c r="BV27">
        <f>OR(AI27=TRUE,AA27=TRUE)</f>
        <v>0</v>
      </c>
      <c r="BW27">
        <f>IFERROR( (AR27-D27) / MAX(D27-AQ27,1E-9) ,"")</f>
        <v>0</v>
      </c>
      <c r="BX27">
        <f>IFERROR(BW27&gt;=2, FALSE)</f>
        <v>0</v>
      </c>
      <c r="BY27" s="1">
        <f>IFERROR(ROUNDDOWN(MIN(IF(BA27&gt;0, BA27/D27, 1E99),IF(AZ27&gt;0, AZ27/MAX(D27-AQ27,1E-9), 1E99)),0),"")</f>
        <v>0</v>
      </c>
      <c r="BZ27" s="2">
        <f>IF(AND(ISNUMBER(D27),ISNUMBER(AT27)), D27*(1-AT27), "")</f>
        <v>0</v>
      </c>
      <c r="CA27">
        <f>AND(BT27=TRUE,BU27=TRUE,BV27=TRUE,BX27=TRUE)</f>
        <v>0</v>
      </c>
    </row>
    <row r="28" spans="1:79" x14ac:dyDescent="0.25">
      <c r="A28" t="s">
        <v>93</v>
      </c>
      <c r="B28">
        <f>HYPERLINK("data/charts/PBH_TO.png", "Open")</f>
        <v>0</v>
      </c>
      <c r="C28" t="s">
        <v>279</v>
      </c>
      <c r="D28">
        <v>95.26000000000001</v>
      </c>
      <c r="E28">
        <v>-1.89</v>
      </c>
      <c r="F28">
        <v>31.27</v>
      </c>
      <c r="G28">
        <v>18.21</v>
      </c>
      <c r="H28">
        <v>80.59</v>
      </c>
      <c r="I28">
        <v>-0.0475</v>
      </c>
      <c r="J28" t="b">
        <v>0</v>
      </c>
      <c r="K28">
        <v>85.15000000000001</v>
      </c>
      <c r="L28">
        <v>90.56999999999999</v>
      </c>
      <c r="M28">
        <v>90.27</v>
      </c>
      <c r="N28">
        <v>86.67</v>
      </c>
      <c r="O28" t="b">
        <v>1</v>
      </c>
      <c r="P28" t="b">
        <v>1</v>
      </c>
      <c r="Q28" t="b">
        <v>1</v>
      </c>
      <c r="R28">
        <v>71.98</v>
      </c>
      <c r="S28" t="b">
        <v>0</v>
      </c>
      <c r="T28" t="b">
        <v>0</v>
      </c>
      <c r="U28">
        <v>2.5988</v>
      </c>
      <c r="V28">
        <v>2.2235</v>
      </c>
      <c r="W28" t="b">
        <v>0</v>
      </c>
      <c r="X28" t="b">
        <v>1</v>
      </c>
      <c r="Y28">
        <v>227300</v>
      </c>
      <c r="Z28">
        <v>106380</v>
      </c>
      <c r="AA28" t="b">
        <v>1</v>
      </c>
      <c r="AB28">
        <v>90.56999999999999</v>
      </c>
      <c r="AC28">
        <v>95.62</v>
      </c>
      <c r="AD28">
        <v>85.51000000000001</v>
      </c>
      <c r="AE28">
        <v>0.964</v>
      </c>
      <c r="AF28">
        <v>0.112</v>
      </c>
      <c r="AG28">
        <v>95.87</v>
      </c>
      <c r="AH28">
        <v>85.76000000000001</v>
      </c>
      <c r="AI28" t="b">
        <v>1</v>
      </c>
      <c r="AJ28">
        <v>1.794</v>
      </c>
      <c r="AK28">
        <v>92.56999999999999</v>
      </c>
      <c r="AL28">
        <v>85.76000000000001</v>
      </c>
      <c r="AM28">
        <v>85.51000000000001</v>
      </c>
      <c r="AN28">
        <v>84.78</v>
      </c>
      <c r="AO28">
        <v>92.56999999999999</v>
      </c>
      <c r="AP28" t="s">
        <v>280</v>
      </c>
      <c r="AQ28">
        <v>84.78</v>
      </c>
      <c r="AR28">
        <v>104.79</v>
      </c>
      <c r="AS28">
        <v>0.05</v>
      </c>
      <c r="AT28">
        <v>0.07000000000000001</v>
      </c>
      <c r="AU28">
        <v>60</v>
      </c>
      <c r="AV28">
        <v>0.9093507558384301</v>
      </c>
      <c r="AW28">
        <v>5</v>
      </c>
      <c r="AX28">
        <v>6.5</v>
      </c>
      <c r="AY28">
        <v>95</v>
      </c>
      <c r="AZ28">
        <v>1000</v>
      </c>
      <c r="BA28">
        <v>15000</v>
      </c>
      <c r="BD28">
        <v>45.8</v>
      </c>
      <c r="BE28">
        <v>18.14</v>
      </c>
      <c r="BF28">
        <v>3.57</v>
      </c>
      <c r="BG28">
        <v>1.63</v>
      </c>
      <c r="BH28">
        <v>1.91</v>
      </c>
      <c r="BI28">
        <v>14.04</v>
      </c>
      <c r="BJ28">
        <v>933.33</v>
      </c>
      <c r="BK28">
        <v>1.46</v>
      </c>
      <c r="BM28">
        <v>-0.98</v>
      </c>
      <c r="BN28" t="s">
        <v>299</v>
      </c>
      <c r="BO28" t="b">
        <v>0</v>
      </c>
      <c r="BP28" s="1">
        <f>IFERROR(RANK.EQ(AX28,AX$2:AX$213,0),"")</f>
        <v>0</v>
      </c>
      <c r="BQ28">
        <f>IFERROR(Y28/Z28,"")</f>
        <v>0</v>
      </c>
      <c r="BR28">
        <f>IFERROR(U28-V28,"")</f>
        <v>0</v>
      </c>
      <c r="BS28">
        <f>IFERROR(U28&gt;V28,"")</f>
        <v>0</v>
      </c>
      <c r="BT28">
        <f>IF(AND(ISNUMBER(D28),ISNUMBER(H28),D28&gt;=H28), OR(O28=TRUE,P28=TRUE), FALSE)</f>
        <v>0</v>
      </c>
      <c r="BU28">
        <f>AND(ISNUMBER(R28), R28&gt;=45, R28&lt;=60, W28=TRUE, E28&gt;=-20)</f>
        <v>0</v>
      </c>
      <c r="BV28">
        <f>OR(AI28=TRUE,AA28=TRUE)</f>
        <v>0</v>
      </c>
      <c r="BW28">
        <f>IFERROR( (AR28-D28) / MAX(D28-AQ28,1E-9) ,"")</f>
        <v>0</v>
      </c>
      <c r="BX28">
        <f>IFERROR(BW28&gt;=2, FALSE)</f>
        <v>0</v>
      </c>
      <c r="BY28" s="1">
        <f>IFERROR(ROUNDDOWN(MIN(IF(BA28&gt;0, BA28/D28, 1E99),IF(AZ28&gt;0, AZ28/MAX(D28-AQ28,1E-9), 1E99)),0),"")</f>
        <v>0</v>
      </c>
      <c r="BZ28" s="2">
        <f>IF(AND(ISNUMBER(D28),ISNUMBER(AT28)), D28*(1-AT28), "")</f>
        <v>0</v>
      </c>
      <c r="CA28">
        <f>AND(BT28=TRUE,BU28=TRUE,BV28=TRUE,BX28=TRUE)</f>
        <v>0</v>
      </c>
    </row>
    <row r="29" spans="1:79" x14ac:dyDescent="0.25">
      <c r="A29" t="s">
        <v>94</v>
      </c>
      <c r="B29">
        <f>HYPERLINK("data/charts/FI.png", "Open")</f>
        <v>0</v>
      </c>
      <c r="C29" t="s">
        <v>279</v>
      </c>
      <c r="D29">
        <v>136.7</v>
      </c>
      <c r="E29">
        <v>-42.71</v>
      </c>
      <c r="F29">
        <v>6.61</v>
      </c>
      <c r="G29">
        <v>-29.52</v>
      </c>
      <c r="H29">
        <v>193.94</v>
      </c>
      <c r="I29">
        <v>-0.0527</v>
      </c>
      <c r="J29" t="b">
        <v>0</v>
      </c>
      <c r="K29">
        <v>156.9</v>
      </c>
      <c r="L29">
        <v>139.73</v>
      </c>
      <c r="M29">
        <v>141.42</v>
      </c>
      <c r="N29">
        <v>154.01</v>
      </c>
      <c r="O29" t="b">
        <v>0</v>
      </c>
      <c r="P29" t="b">
        <v>0</v>
      </c>
      <c r="Q29" t="b">
        <v>0</v>
      </c>
      <c r="R29">
        <v>34.74</v>
      </c>
      <c r="S29" t="b">
        <v>1</v>
      </c>
      <c r="T29" t="b">
        <v>1</v>
      </c>
      <c r="U29">
        <v>-7.3426</v>
      </c>
      <c r="V29">
        <v>-8.0824</v>
      </c>
      <c r="W29" t="b">
        <v>1</v>
      </c>
      <c r="X29" t="b">
        <v>1</v>
      </c>
      <c r="Y29">
        <v>4221100</v>
      </c>
      <c r="Z29">
        <v>6772745</v>
      </c>
      <c r="AA29" t="b">
        <v>0</v>
      </c>
      <c r="AB29">
        <v>139.73</v>
      </c>
      <c r="AC29">
        <v>158.38</v>
      </c>
      <c r="AD29">
        <v>121.09</v>
      </c>
      <c r="AE29">
        <v>0.419</v>
      </c>
      <c r="AF29">
        <v>0.267</v>
      </c>
      <c r="AG29">
        <v>167.39</v>
      </c>
      <c r="AH29">
        <v>128.22</v>
      </c>
      <c r="AI29" t="b">
        <v>0</v>
      </c>
      <c r="AJ29">
        <v>2.841</v>
      </c>
      <c r="AK29">
        <v>132.44</v>
      </c>
      <c r="AL29">
        <v>131.06</v>
      </c>
      <c r="AM29">
        <v>121.09</v>
      </c>
      <c r="AN29">
        <v>121.66</v>
      </c>
      <c r="AO29">
        <v>132.44</v>
      </c>
      <c r="AP29" t="s">
        <v>280</v>
      </c>
      <c r="AQ29">
        <v>121.66</v>
      </c>
      <c r="AR29">
        <v>150.37</v>
      </c>
      <c r="AS29">
        <v>0.05</v>
      </c>
      <c r="AT29">
        <v>0.07000000000000001</v>
      </c>
      <c r="AU29">
        <v>60</v>
      </c>
      <c r="AV29">
        <v>0.9089099618039156</v>
      </c>
      <c r="AW29">
        <v>4</v>
      </c>
      <c r="AX29">
        <v>6.5</v>
      </c>
      <c r="AY29">
        <v>66</v>
      </c>
      <c r="AZ29">
        <v>1000</v>
      </c>
      <c r="BA29">
        <v>15000</v>
      </c>
      <c r="BD29">
        <v>22.9</v>
      </c>
      <c r="BE29">
        <v>13.42</v>
      </c>
      <c r="BG29">
        <v>0</v>
      </c>
      <c r="BH29">
        <v>1.15</v>
      </c>
      <c r="BI29">
        <v>7.52</v>
      </c>
      <c r="BJ29">
        <v>23.22</v>
      </c>
      <c r="BK29">
        <v>18.6</v>
      </c>
      <c r="BM29">
        <v>1.55</v>
      </c>
      <c r="BN29" t="s">
        <v>286</v>
      </c>
      <c r="BO29" t="b">
        <v>0</v>
      </c>
      <c r="BP29" s="1">
        <f>IFERROR(RANK.EQ(AX29,AX$2:AX$213,0),"")</f>
        <v>0</v>
      </c>
      <c r="BQ29">
        <f>IFERROR(Y29/Z29,"")</f>
        <v>0</v>
      </c>
      <c r="BR29">
        <f>IFERROR(U29-V29,"")</f>
        <v>0</v>
      </c>
      <c r="BS29">
        <f>IFERROR(U29&gt;V29,"")</f>
        <v>0</v>
      </c>
      <c r="BT29">
        <f>IF(AND(ISNUMBER(D29),ISNUMBER(H29),D29&gt;=H29), OR(O29=TRUE,P29=TRUE), FALSE)</f>
        <v>0</v>
      </c>
      <c r="BU29">
        <f>AND(ISNUMBER(R29), R29&gt;=45, R29&lt;=60, W29=TRUE, E29&gt;=-20)</f>
        <v>0</v>
      </c>
      <c r="BV29">
        <f>OR(AI29=TRUE,AA29=TRUE)</f>
        <v>0</v>
      </c>
      <c r="BW29">
        <f>IFERROR( (AR29-D29) / MAX(D29-AQ29,1E-9) ,"")</f>
        <v>0</v>
      </c>
      <c r="BX29">
        <f>IFERROR(BW29&gt;=2, FALSE)</f>
        <v>0</v>
      </c>
      <c r="BY29" s="1">
        <f>IFERROR(ROUNDDOWN(MIN(IF(BA29&gt;0, BA29/D29, 1E99),IF(AZ29&gt;0, AZ29/MAX(D29-AQ29,1E-9), 1E99)),0),"")</f>
        <v>0</v>
      </c>
      <c r="BZ29" s="2">
        <f>IF(AND(ISNUMBER(D29),ISNUMBER(AT29)), D29*(1-AT29), "")</f>
        <v>0</v>
      </c>
      <c r="CA29">
        <f>AND(BT29=TRUE,BU29=TRUE,BV29=TRUE,BX29=TRUE)</f>
        <v>0</v>
      </c>
    </row>
    <row r="30" spans="1:79" x14ac:dyDescent="0.25">
      <c r="A30" t="s">
        <v>95</v>
      </c>
      <c r="B30">
        <f>HYPERLINK("data/charts/FCX.png", "Open")</f>
        <v>0</v>
      </c>
      <c r="C30" t="s">
        <v>279</v>
      </c>
      <c r="D30">
        <v>42.36</v>
      </c>
      <c r="E30">
        <v>-19.48</v>
      </c>
      <c r="F30">
        <v>53.15</v>
      </c>
      <c r="G30">
        <v>5.62</v>
      </c>
      <c r="H30">
        <v>40.1</v>
      </c>
      <c r="I30">
        <v>-0.0324</v>
      </c>
      <c r="J30" t="b">
        <v>0</v>
      </c>
      <c r="K30">
        <v>42.93</v>
      </c>
      <c r="L30">
        <v>42.28</v>
      </c>
      <c r="M30">
        <v>42.23</v>
      </c>
      <c r="N30">
        <v>42.07</v>
      </c>
      <c r="O30" t="b">
        <v>1</v>
      </c>
      <c r="P30" t="b">
        <v>1</v>
      </c>
      <c r="Q30" t="b">
        <v>1</v>
      </c>
      <c r="R30">
        <v>50.15</v>
      </c>
      <c r="S30" t="b">
        <v>0</v>
      </c>
      <c r="T30" t="b">
        <v>0</v>
      </c>
      <c r="U30">
        <v>-0.3655</v>
      </c>
      <c r="V30">
        <v>-0.4858</v>
      </c>
      <c r="W30" t="b">
        <v>1</v>
      </c>
      <c r="X30" t="b">
        <v>1</v>
      </c>
      <c r="Y30">
        <v>8883400</v>
      </c>
      <c r="Z30">
        <v>17050150</v>
      </c>
      <c r="AA30" t="b">
        <v>0</v>
      </c>
      <c r="AB30">
        <v>42.28</v>
      </c>
      <c r="AC30">
        <v>46.27</v>
      </c>
      <c r="AD30">
        <v>38.3</v>
      </c>
      <c r="AE30">
        <v>0.509</v>
      </c>
      <c r="AF30">
        <v>0.189</v>
      </c>
      <c r="AG30">
        <v>46.26</v>
      </c>
      <c r="AH30">
        <v>38.34</v>
      </c>
      <c r="AI30" t="b">
        <v>0</v>
      </c>
      <c r="AJ30">
        <v>1.312</v>
      </c>
      <c r="AK30">
        <v>40.39</v>
      </c>
      <c r="AL30">
        <v>38.34</v>
      </c>
      <c r="AM30">
        <v>38.3</v>
      </c>
      <c r="AN30">
        <v>37.7</v>
      </c>
      <c r="AO30">
        <v>40.39</v>
      </c>
      <c r="AP30" t="s">
        <v>280</v>
      </c>
      <c r="AQ30">
        <v>37.7</v>
      </c>
      <c r="AR30">
        <v>46.6</v>
      </c>
      <c r="AS30">
        <v>0.05</v>
      </c>
      <c r="AT30">
        <v>0.07000000000000001</v>
      </c>
      <c r="AU30">
        <v>60</v>
      </c>
      <c r="AV30">
        <v>0.9098709944865361</v>
      </c>
      <c r="AW30">
        <v>4</v>
      </c>
      <c r="AX30">
        <v>6.5</v>
      </c>
      <c r="AY30">
        <v>214</v>
      </c>
      <c r="AZ30">
        <v>1000</v>
      </c>
      <c r="BA30">
        <v>15000</v>
      </c>
      <c r="BD30">
        <v>32.09</v>
      </c>
      <c r="BE30">
        <v>19.61</v>
      </c>
      <c r="BF30">
        <v>1.42</v>
      </c>
      <c r="BG30">
        <v>0.45</v>
      </c>
      <c r="BH30">
        <v>0.31</v>
      </c>
      <c r="BI30">
        <v>32.37</v>
      </c>
      <c r="BJ30">
        <v>120.83</v>
      </c>
      <c r="BK30">
        <v>10.18</v>
      </c>
      <c r="BM30">
        <v>1.27</v>
      </c>
      <c r="BN30" t="s">
        <v>286</v>
      </c>
      <c r="BO30" t="b">
        <v>0</v>
      </c>
      <c r="BP30" s="1">
        <f>IFERROR(RANK.EQ(AX30,AX$2:AX$213,0),"")</f>
        <v>0</v>
      </c>
      <c r="BQ30">
        <f>IFERROR(Y30/Z30,"")</f>
        <v>0</v>
      </c>
      <c r="BR30">
        <f>IFERROR(U30-V30,"")</f>
        <v>0</v>
      </c>
      <c r="BS30">
        <f>IFERROR(U30&gt;V30,"")</f>
        <v>0</v>
      </c>
      <c r="BT30">
        <f>IF(AND(ISNUMBER(D30),ISNUMBER(H30),D30&gt;=H30), OR(O30=TRUE,P30=TRUE), FALSE)</f>
        <v>0</v>
      </c>
      <c r="BU30">
        <f>AND(ISNUMBER(R30), R30&gt;=45, R30&lt;=60, W30=TRUE, E30&gt;=-20)</f>
        <v>0</v>
      </c>
      <c r="BV30">
        <f>OR(AI30=TRUE,AA30=TRUE)</f>
        <v>0</v>
      </c>
      <c r="BW30">
        <f>IFERROR( (AR30-D30) / MAX(D30-AQ30,1E-9) ,"")</f>
        <v>0</v>
      </c>
      <c r="BX30">
        <f>IFERROR(BW30&gt;=2, FALSE)</f>
        <v>0</v>
      </c>
      <c r="BY30" s="1">
        <f>IFERROR(ROUNDDOWN(MIN(IF(BA30&gt;0, BA30/D30, 1E99),IF(AZ30&gt;0, AZ30/MAX(D30-AQ30,1E-9), 1E99)),0),"")</f>
        <v>0</v>
      </c>
      <c r="BZ30" s="2">
        <f>IF(AND(ISNUMBER(D30),ISNUMBER(AT30)), D30*(1-AT30), "")</f>
        <v>0</v>
      </c>
      <c r="CA30">
        <f>AND(BT30=TRUE,BU30=TRUE,BV30=TRUE,BX30=TRUE)</f>
        <v>0</v>
      </c>
    </row>
    <row r="31" spans="1:79" x14ac:dyDescent="0.25">
      <c r="A31" t="s">
        <v>96</v>
      </c>
      <c r="B31">
        <f>HYPERLINK("data/charts/USB.png", "Open")</f>
        <v>0</v>
      </c>
      <c r="C31" t="s">
        <v>279</v>
      </c>
      <c r="D31">
        <v>45.93</v>
      </c>
      <c r="E31">
        <v>-14.91</v>
      </c>
      <c r="F31">
        <v>30.56</v>
      </c>
      <c r="G31">
        <v>0.32</v>
      </c>
      <c r="H31">
        <v>45.78</v>
      </c>
      <c r="I31">
        <v>0.0019</v>
      </c>
      <c r="J31" t="b">
        <v>1</v>
      </c>
      <c r="K31">
        <v>45.41</v>
      </c>
      <c r="L31">
        <v>45.48</v>
      </c>
      <c r="M31">
        <v>45.54</v>
      </c>
      <c r="N31">
        <v>45.17</v>
      </c>
      <c r="O31" t="b">
        <v>1</v>
      </c>
      <c r="P31" t="b">
        <v>1</v>
      </c>
      <c r="Q31" t="b">
        <v>1</v>
      </c>
      <c r="R31">
        <v>53.3</v>
      </c>
      <c r="S31" t="b">
        <v>0</v>
      </c>
      <c r="T31" t="b">
        <v>0</v>
      </c>
      <c r="U31">
        <v>0.0803</v>
      </c>
      <c r="V31">
        <v>-0.0598</v>
      </c>
      <c r="W31" t="b">
        <v>1</v>
      </c>
      <c r="X31" t="b">
        <v>1</v>
      </c>
      <c r="Y31">
        <v>8995400</v>
      </c>
      <c r="Z31">
        <v>8569880</v>
      </c>
      <c r="AA31" t="b">
        <v>0</v>
      </c>
      <c r="AB31">
        <v>45.48</v>
      </c>
      <c r="AC31">
        <v>47.24</v>
      </c>
      <c r="AD31">
        <v>43.73</v>
      </c>
      <c r="AE31">
        <v>0.628</v>
      </c>
      <c r="AF31">
        <v>0.077</v>
      </c>
      <c r="AG31">
        <v>47.09</v>
      </c>
      <c r="AH31">
        <v>43.46</v>
      </c>
      <c r="AI31" t="b">
        <v>0</v>
      </c>
      <c r="AJ31">
        <v>0.841</v>
      </c>
      <c r="AK31">
        <v>44.67</v>
      </c>
      <c r="AL31">
        <v>43.46</v>
      </c>
      <c r="AM31">
        <v>43.73</v>
      </c>
      <c r="AN31">
        <v>40.88</v>
      </c>
      <c r="AO31">
        <v>44.67</v>
      </c>
      <c r="AP31" t="s">
        <v>280</v>
      </c>
      <c r="AQ31">
        <v>40.88</v>
      </c>
      <c r="AR31">
        <v>50.52</v>
      </c>
      <c r="AS31">
        <v>0.05</v>
      </c>
      <c r="AT31">
        <v>0.07000000000000001</v>
      </c>
      <c r="AU31">
        <v>60</v>
      </c>
      <c r="AV31">
        <v>0.9089107757320135</v>
      </c>
      <c r="AW31">
        <v>4</v>
      </c>
      <c r="AX31">
        <v>6.5</v>
      </c>
      <c r="AY31">
        <v>198</v>
      </c>
      <c r="AZ31">
        <v>1000</v>
      </c>
      <c r="BA31">
        <v>15000</v>
      </c>
      <c r="BD31">
        <v>10.99</v>
      </c>
      <c r="BE31">
        <v>10.61</v>
      </c>
      <c r="BF31">
        <v>4.35</v>
      </c>
      <c r="BG31">
        <v>0.48</v>
      </c>
      <c r="BH31">
        <v>1.28</v>
      </c>
      <c r="BI31">
        <v>0.68</v>
      </c>
      <c r="BJ31">
        <v>7.77</v>
      </c>
      <c r="BK31">
        <v>26.02</v>
      </c>
      <c r="BM31">
        <v>0.83</v>
      </c>
      <c r="BN31" t="s">
        <v>300</v>
      </c>
      <c r="BO31" t="b">
        <v>0</v>
      </c>
      <c r="BP31" s="1">
        <f>IFERROR(RANK.EQ(AX31,AX$2:AX$213,0),"")</f>
        <v>0</v>
      </c>
      <c r="BQ31">
        <f>IFERROR(Y31/Z31,"")</f>
        <v>0</v>
      </c>
      <c r="BR31">
        <f>IFERROR(U31-V31,"")</f>
        <v>0</v>
      </c>
      <c r="BS31">
        <f>IFERROR(U31&gt;V31,"")</f>
        <v>0</v>
      </c>
      <c r="BT31">
        <f>IF(AND(ISNUMBER(D31),ISNUMBER(H31),D31&gt;=H31), OR(O31=TRUE,P31=TRUE), FALSE)</f>
        <v>0</v>
      </c>
      <c r="BU31">
        <f>AND(ISNUMBER(R31), R31&gt;=45, R31&lt;=60, W31=TRUE, E31&gt;=-20)</f>
        <v>0</v>
      </c>
      <c r="BV31">
        <f>OR(AI31=TRUE,AA31=TRUE)</f>
        <v>0</v>
      </c>
      <c r="BW31">
        <f>IFERROR( (AR31-D31) / MAX(D31-AQ31,1E-9) ,"")</f>
        <v>0</v>
      </c>
      <c r="BX31">
        <f>IFERROR(BW31&gt;=2, FALSE)</f>
        <v>0</v>
      </c>
      <c r="BY31" s="1">
        <f>IFERROR(ROUNDDOWN(MIN(IF(BA31&gt;0, BA31/D31, 1E99),IF(AZ31&gt;0, AZ31/MAX(D31-AQ31,1E-9), 1E99)),0),"")</f>
        <v>0</v>
      </c>
      <c r="BZ31" s="2">
        <f>IF(AND(ISNUMBER(D31),ISNUMBER(AT31)), D31*(1-AT31), "")</f>
        <v>0</v>
      </c>
      <c r="CA31">
        <f>AND(BT31=TRUE,BU31=TRUE,BV31=TRUE,BX31=TRUE)</f>
        <v>0</v>
      </c>
    </row>
    <row r="32" spans="1:79" x14ac:dyDescent="0.25">
      <c r="A32" t="s">
        <v>97</v>
      </c>
      <c r="B32">
        <f>HYPERLINK("data/charts/EIF_TO.png", "Open")</f>
        <v>0</v>
      </c>
      <c r="C32" t="s">
        <v>279</v>
      </c>
      <c r="D32">
        <v>72.87</v>
      </c>
      <c r="E32">
        <v>-3.01</v>
      </c>
      <c r="F32">
        <v>61.93</v>
      </c>
      <c r="G32">
        <v>29.18</v>
      </c>
      <c r="H32">
        <v>56.41</v>
      </c>
      <c r="I32">
        <v>0.1137</v>
      </c>
      <c r="J32" t="b">
        <v>1</v>
      </c>
      <c r="K32">
        <v>64.03</v>
      </c>
      <c r="L32">
        <v>67.81</v>
      </c>
      <c r="M32">
        <v>68.42</v>
      </c>
      <c r="N32">
        <v>64.7</v>
      </c>
      <c r="O32" t="b">
        <v>1</v>
      </c>
      <c r="P32" t="b">
        <v>1</v>
      </c>
      <c r="Q32" t="b">
        <v>1</v>
      </c>
      <c r="R32">
        <v>73.22</v>
      </c>
      <c r="S32" t="b">
        <v>0</v>
      </c>
      <c r="T32" t="b">
        <v>0</v>
      </c>
      <c r="U32">
        <v>2.412</v>
      </c>
      <c r="V32">
        <v>1.8164</v>
      </c>
      <c r="W32" t="b">
        <v>1</v>
      </c>
      <c r="X32" t="b">
        <v>0</v>
      </c>
      <c r="Y32">
        <v>84600</v>
      </c>
      <c r="Z32">
        <v>118520</v>
      </c>
      <c r="AA32" t="b">
        <v>0</v>
      </c>
      <c r="AB32">
        <v>67.81</v>
      </c>
      <c r="AC32">
        <v>73.86</v>
      </c>
      <c r="AD32">
        <v>61.76</v>
      </c>
      <c r="AE32">
        <v>0.918</v>
      </c>
      <c r="AF32">
        <v>0.178</v>
      </c>
      <c r="AG32">
        <v>75.13</v>
      </c>
      <c r="AH32">
        <v>64.95</v>
      </c>
      <c r="AI32" t="b">
        <v>0</v>
      </c>
      <c r="AJ32">
        <v>1.369</v>
      </c>
      <c r="AK32">
        <v>70.81999999999999</v>
      </c>
      <c r="AL32">
        <v>64.95</v>
      </c>
      <c r="AM32">
        <v>61.76</v>
      </c>
      <c r="AN32">
        <v>64.84999999999999</v>
      </c>
      <c r="AO32">
        <v>70.81999999999999</v>
      </c>
      <c r="AP32" t="s">
        <v>280</v>
      </c>
      <c r="AQ32">
        <v>64.84999999999999</v>
      </c>
      <c r="AR32">
        <v>80.16</v>
      </c>
      <c r="AS32">
        <v>0.05</v>
      </c>
      <c r="AT32">
        <v>0.07000000000000001</v>
      </c>
      <c r="AU32">
        <v>60</v>
      </c>
      <c r="AV32">
        <v>0.9089769023489194</v>
      </c>
      <c r="AW32">
        <v>4</v>
      </c>
      <c r="AX32">
        <v>6.5</v>
      </c>
      <c r="AY32">
        <v>124</v>
      </c>
      <c r="AZ32">
        <v>1000</v>
      </c>
      <c r="BA32">
        <v>15000</v>
      </c>
      <c r="BD32">
        <v>27.71</v>
      </c>
      <c r="BE32">
        <v>18.59</v>
      </c>
      <c r="BF32">
        <v>3.62</v>
      </c>
      <c r="BG32">
        <v>1</v>
      </c>
      <c r="BH32">
        <v>1.7</v>
      </c>
      <c r="BI32">
        <v>7.73</v>
      </c>
      <c r="BJ32">
        <v>457.14</v>
      </c>
      <c r="BK32">
        <v>5.56</v>
      </c>
      <c r="BM32">
        <v>1.23</v>
      </c>
      <c r="BN32" t="s">
        <v>301</v>
      </c>
      <c r="BO32" t="b">
        <v>0</v>
      </c>
      <c r="BP32" s="1">
        <f>IFERROR(RANK.EQ(AX32,AX$2:AX$213,0),"")</f>
        <v>0</v>
      </c>
      <c r="BQ32">
        <f>IFERROR(Y32/Z32,"")</f>
        <v>0</v>
      </c>
      <c r="BR32">
        <f>IFERROR(U32-V32,"")</f>
        <v>0</v>
      </c>
      <c r="BS32">
        <f>IFERROR(U32&gt;V32,"")</f>
        <v>0</v>
      </c>
      <c r="BT32">
        <f>IF(AND(ISNUMBER(D32),ISNUMBER(H32),D32&gt;=H32), OR(O32=TRUE,P32=TRUE), FALSE)</f>
        <v>0</v>
      </c>
      <c r="BU32">
        <f>AND(ISNUMBER(R32), R32&gt;=45, R32&lt;=60, W32=TRUE, E32&gt;=-20)</f>
        <v>0</v>
      </c>
      <c r="BV32">
        <f>OR(AI32=TRUE,AA32=TRUE)</f>
        <v>0</v>
      </c>
      <c r="BW32">
        <f>IFERROR( (AR32-D32) / MAX(D32-AQ32,1E-9) ,"")</f>
        <v>0</v>
      </c>
      <c r="BX32">
        <f>IFERROR(BW32&gt;=2, FALSE)</f>
        <v>0</v>
      </c>
      <c r="BY32" s="1">
        <f>IFERROR(ROUNDDOWN(MIN(IF(BA32&gt;0, BA32/D32, 1E99),IF(AZ32&gt;0, AZ32/MAX(D32-AQ32,1E-9), 1E99)),0),"")</f>
        <v>0</v>
      </c>
      <c r="BZ32" s="2">
        <f>IF(AND(ISNUMBER(D32),ISNUMBER(AT32)), D32*(1-AT32), "")</f>
        <v>0</v>
      </c>
      <c r="CA32">
        <f>AND(BT32=TRUE,BU32=TRUE,BV32=TRUE,BX32=TRUE)</f>
        <v>0</v>
      </c>
    </row>
    <row r="33" spans="1:79" x14ac:dyDescent="0.25">
      <c r="A33" t="s">
        <v>98</v>
      </c>
      <c r="B33">
        <f>HYPERLINK("data/charts/LNR_TO.png", "Open")</f>
        <v>0</v>
      </c>
      <c r="C33" t="s">
        <v>279</v>
      </c>
      <c r="D33">
        <v>73.22</v>
      </c>
      <c r="E33">
        <v>-0.54</v>
      </c>
      <c r="F33">
        <v>67.02</v>
      </c>
      <c r="G33">
        <v>25.29</v>
      </c>
      <c r="H33">
        <v>58.44</v>
      </c>
      <c r="I33">
        <v>0.0308</v>
      </c>
      <c r="J33" t="b">
        <v>1</v>
      </c>
      <c r="K33">
        <v>66.33</v>
      </c>
      <c r="L33">
        <v>68.81999999999999</v>
      </c>
      <c r="M33">
        <v>69.09</v>
      </c>
      <c r="N33">
        <v>66.23999999999999</v>
      </c>
      <c r="O33" t="b">
        <v>1</v>
      </c>
      <c r="P33" t="b">
        <v>1</v>
      </c>
      <c r="Q33" t="b">
        <v>1</v>
      </c>
      <c r="R33">
        <v>72.94</v>
      </c>
      <c r="S33" t="b">
        <v>0</v>
      </c>
      <c r="T33" t="b">
        <v>0</v>
      </c>
      <c r="U33">
        <v>1.681</v>
      </c>
      <c r="V33">
        <v>1.2526</v>
      </c>
      <c r="W33" t="b">
        <v>1</v>
      </c>
      <c r="X33" t="b">
        <v>1</v>
      </c>
      <c r="Y33">
        <v>361700</v>
      </c>
      <c r="Z33">
        <v>145155</v>
      </c>
      <c r="AA33" t="b">
        <v>1</v>
      </c>
      <c r="AB33">
        <v>68.81999999999999</v>
      </c>
      <c r="AC33">
        <v>72.86</v>
      </c>
      <c r="AD33">
        <v>64.79000000000001</v>
      </c>
      <c r="AE33">
        <v>1.045</v>
      </c>
      <c r="AF33">
        <v>0.117</v>
      </c>
      <c r="AG33">
        <v>73.62</v>
      </c>
      <c r="AH33">
        <v>65.59999999999999</v>
      </c>
      <c r="AI33" t="b">
        <v>0</v>
      </c>
      <c r="AJ33">
        <v>1.552</v>
      </c>
      <c r="AK33">
        <v>70.89</v>
      </c>
      <c r="AL33">
        <v>68.11</v>
      </c>
      <c r="AM33">
        <v>64.79000000000001</v>
      </c>
      <c r="AN33">
        <v>65.17</v>
      </c>
      <c r="AO33">
        <v>70.89</v>
      </c>
      <c r="AP33" t="s">
        <v>280</v>
      </c>
      <c r="AQ33">
        <v>65.17</v>
      </c>
      <c r="AR33">
        <v>80.54000000000001</v>
      </c>
      <c r="AS33">
        <v>0.05</v>
      </c>
      <c r="AT33">
        <v>0.07000000000000001</v>
      </c>
      <c r="AU33">
        <v>60</v>
      </c>
      <c r="AV33">
        <v>0.9093164806573184</v>
      </c>
      <c r="AW33">
        <v>5</v>
      </c>
      <c r="AX33">
        <v>6.25</v>
      </c>
      <c r="AY33">
        <v>124</v>
      </c>
      <c r="AZ33">
        <v>1000</v>
      </c>
      <c r="BA33">
        <v>15000</v>
      </c>
      <c r="BD33">
        <v>20.74</v>
      </c>
      <c r="BE33">
        <v>6.97</v>
      </c>
      <c r="BF33">
        <v>1.58</v>
      </c>
      <c r="BG33">
        <v>0.29</v>
      </c>
      <c r="BH33">
        <v>0.38</v>
      </c>
      <c r="BI33">
        <v>4.37</v>
      </c>
      <c r="BJ33">
        <v>-27.89</v>
      </c>
      <c r="BK33">
        <v>4.8</v>
      </c>
      <c r="BM33">
        <v>-0.77</v>
      </c>
      <c r="BN33" t="s">
        <v>283</v>
      </c>
      <c r="BO33" t="b">
        <v>0</v>
      </c>
      <c r="BP33" s="1">
        <f>IFERROR(RANK.EQ(AX33,AX$2:AX$213,0),"")</f>
        <v>0</v>
      </c>
      <c r="BQ33">
        <f>IFERROR(Y33/Z33,"")</f>
        <v>0</v>
      </c>
      <c r="BR33">
        <f>IFERROR(U33-V33,"")</f>
        <v>0</v>
      </c>
      <c r="BS33">
        <f>IFERROR(U33&gt;V33,"")</f>
        <v>0</v>
      </c>
      <c r="BT33">
        <f>IF(AND(ISNUMBER(D33),ISNUMBER(H33),D33&gt;=H33), OR(O33=TRUE,P33=TRUE), FALSE)</f>
        <v>0</v>
      </c>
      <c r="BU33">
        <f>AND(ISNUMBER(R33), R33&gt;=45, R33&lt;=60, W33=TRUE, E33&gt;=-20)</f>
        <v>0</v>
      </c>
      <c r="BV33">
        <f>OR(AI33=TRUE,AA33=TRUE)</f>
        <v>0</v>
      </c>
      <c r="BW33">
        <f>IFERROR( (AR33-D33) / MAX(D33-AQ33,1E-9) ,"")</f>
        <v>0</v>
      </c>
      <c r="BX33">
        <f>IFERROR(BW33&gt;=2, FALSE)</f>
        <v>0</v>
      </c>
      <c r="BY33" s="1">
        <f>IFERROR(ROUNDDOWN(MIN(IF(BA33&gt;0, BA33/D33, 1E99),IF(AZ33&gt;0, AZ33/MAX(D33-AQ33,1E-9), 1E99)),0),"")</f>
        <v>0</v>
      </c>
      <c r="BZ33" s="2">
        <f>IF(AND(ISNUMBER(D33),ISNUMBER(AT33)), D33*(1-AT33), "")</f>
        <v>0</v>
      </c>
      <c r="CA33">
        <f>AND(BT33=TRUE,BU33=TRUE,BV33=TRUE,BX33=TRUE)</f>
        <v>0</v>
      </c>
    </row>
    <row r="34" spans="1:79" x14ac:dyDescent="0.25">
      <c r="A34" t="s">
        <v>99</v>
      </c>
      <c r="B34">
        <f>HYPERLINK("data/charts/LIF_TO.png", "Open")</f>
        <v>0</v>
      </c>
      <c r="C34" t="s">
        <v>279</v>
      </c>
      <c r="D34">
        <v>27.21</v>
      </c>
      <c r="E34">
        <v>-19.9</v>
      </c>
      <c r="F34">
        <v>5.26</v>
      </c>
      <c r="G34">
        <v>-6.59</v>
      </c>
      <c r="H34">
        <v>29.13</v>
      </c>
      <c r="I34">
        <v>-0.0585</v>
      </c>
      <c r="J34" t="b">
        <v>0</v>
      </c>
      <c r="K34">
        <v>27.86</v>
      </c>
      <c r="L34">
        <v>27.17</v>
      </c>
      <c r="M34">
        <v>27.15</v>
      </c>
      <c r="N34">
        <v>27.66</v>
      </c>
      <c r="O34" t="b">
        <v>1</v>
      </c>
      <c r="P34" t="b">
        <v>0</v>
      </c>
      <c r="Q34" t="b">
        <v>1</v>
      </c>
      <c r="R34">
        <v>49.12</v>
      </c>
      <c r="S34" t="b">
        <v>0</v>
      </c>
      <c r="T34" t="b">
        <v>0</v>
      </c>
      <c r="U34">
        <v>-0.2764</v>
      </c>
      <c r="V34">
        <v>-0.3355</v>
      </c>
      <c r="W34" t="b">
        <v>1</v>
      </c>
      <c r="X34" t="b">
        <v>1</v>
      </c>
      <c r="Y34">
        <v>393000</v>
      </c>
      <c r="Z34">
        <v>223630</v>
      </c>
      <c r="AA34" t="b">
        <v>1</v>
      </c>
      <c r="AB34">
        <v>27.17</v>
      </c>
      <c r="AC34">
        <v>28.3</v>
      </c>
      <c r="AD34">
        <v>26.04</v>
      </c>
      <c r="AE34">
        <v>0.519</v>
      </c>
      <c r="AF34">
        <v>0.083</v>
      </c>
      <c r="AG34">
        <v>28.48</v>
      </c>
      <c r="AH34">
        <v>26.22</v>
      </c>
      <c r="AI34" t="b">
        <v>0</v>
      </c>
      <c r="AJ34">
        <v>0.421</v>
      </c>
      <c r="AK34">
        <v>26.58</v>
      </c>
      <c r="AL34">
        <v>26.22</v>
      </c>
      <c r="AM34">
        <v>26.04</v>
      </c>
      <c r="AN34">
        <v>24.22</v>
      </c>
      <c r="AO34">
        <v>26.58</v>
      </c>
      <c r="AP34" t="s">
        <v>280</v>
      </c>
      <c r="AQ34">
        <v>24.22</v>
      </c>
      <c r="AR34">
        <v>29.93</v>
      </c>
      <c r="AS34">
        <v>0.05</v>
      </c>
      <c r="AT34">
        <v>0.07000000000000001</v>
      </c>
      <c r="AU34">
        <v>60</v>
      </c>
      <c r="AV34">
        <v>0.9096995813987236</v>
      </c>
      <c r="AW34">
        <v>4</v>
      </c>
      <c r="AX34">
        <v>6.25</v>
      </c>
      <c r="AY34">
        <v>334</v>
      </c>
      <c r="AZ34">
        <v>1000</v>
      </c>
      <c r="BA34">
        <v>15000</v>
      </c>
      <c r="BD34">
        <v>15.37</v>
      </c>
      <c r="BE34">
        <v>9.380000000000001</v>
      </c>
      <c r="BF34">
        <v>8.27</v>
      </c>
      <c r="BG34">
        <v>1.27</v>
      </c>
      <c r="BH34">
        <v>0.25</v>
      </c>
      <c r="BI34">
        <v>30.07</v>
      </c>
      <c r="BJ34">
        <v>27.27</v>
      </c>
      <c r="BK34">
        <v>56.81</v>
      </c>
      <c r="BM34">
        <v>-0.33</v>
      </c>
      <c r="BN34" t="s">
        <v>285</v>
      </c>
      <c r="BO34" t="b">
        <v>0</v>
      </c>
      <c r="BP34" s="1">
        <f>IFERROR(RANK.EQ(AX34,AX$2:AX$213,0),"")</f>
        <v>0</v>
      </c>
      <c r="BQ34">
        <f>IFERROR(Y34/Z34,"")</f>
        <v>0</v>
      </c>
      <c r="BR34">
        <f>IFERROR(U34-V34,"")</f>
        <v>0</v>
      </c>
      <c r="BS34">
        <f>IFERROR(U34&gt;V34,"")</f>
        <v>0</v>
      </c>
      <c r="BT34">
        <f>IF(AND(ISNUMBER(D34),ISNUMBER(H34),D34&gt;=H34), OR(O34=TRUE,P34=TRUE), FALSE)</f>
        <v>0</v>
      </c>
      <c r="BU34">
        <f>AND(ISNUMBER(R34), R34&gt;=45, R34&lt;=60, W34=TRUE, E34&gt;=-20)</f>
        <v>0</v>
      </c>
      <c r="BV34">
        <f>OR(AI34=TRUE,AA34=TRUE)</f>
        <v>0</v>
      </c>
      <c r="BW34">
        <f>IFERROR( (AR34-D34) / MAX(D34-AQ34,1E-9) ,"")</f>
        <v>0</v>
      </c>
      <c r="BX34">
        <f>IFERROR(BW34&gt;=2, FALSE)</f>
        <v>0</v>
      </c>
      <c r="BY34" s="1">
        <f>IFERROR(ROUNDDOWN(MIN(IF(BA34&gt;0, BA34/D34, 1E99),IF(AZ34&gt;0, AZ34/MAX(D34-AQ34,1E-9), 1E99)),0),"")</f>
        <v>0</v>
      </c>
      <c r="BZ34" s="2">
        <f>IF(AND(ISNUMBER(D34),ISNUMBER(AT34)), D34*(1-AT34), "")</f>
        <v>0</v>
      </c>
      <c r="CA34">
        <f>AND(BT34=TRUE,BU34=TRUE,BV34=TRUE,BX34=TRUE)</f>
        <v>0</v>
      </c>
    </row>
    <row r="35" spans="1:79" x14ac:dyDescent="0.25">
      <c r="A35" t="s">
        <v>100</v>
      </c>
      <c r="B35">
        <f>HYPERLINK("data/charts/HBAN.png", "Open")</f>
        <v>0</v>
      </c>
      <c r="C35" t="s">
        <v>279</v>
      </c>
      <c r="D35">
        <v>16.57</v>
      </c>
      <c r="E35">
        <v>-10.19</v>
      </c>
      <c r="F35">
        <v>39.01</v>
      </c>
      <c r="G35">
        <v>2.91</v>
      </c>
      <c r="H35">
        <v>16.1</v>
      </c>
      <c r="I35">
        <v>0.0617</v>
      </c>
      <c r="J35" t="b">
        <v>1</v>
      </c>
      <c r="K35">
        <v>16.52</v>
      </c>
      <c r="L35">
        <v>16.46</v>
      </c>
      <c r="M35">
        <v>16.48</v>
      </c>
      <c r="N35">
        <v>16.36</v>
      </c>
      <c r="O35" t="b">
        <v>1</v>
      </c>
      <c r="P35" t="b">
        <v>1</v>
      </c>
      <c r="Q35" t="b">
        <v>1</v>
      </c>
      <c r="R35">
        <v>51.69</v>
      </c>
      <c r="S35" t="b">
        <v>0</v>
      </c>
      <c r="T35" t="b">
        <v>0</v>
      </c>
      <c r="U35">
        <v>-0.0333</v>
      </c>
      <c r="V35">
        <v>-0.06859999999999999</v>
      </c>
      <c r="W35" t="b">
        <v>1</v>
      </c>
      <c r="X35" t="b">
        <v>0</v>
      </c>
      <c r="Y35">
        <v>21073000</v>
      </c>
      <c r="Z35">
        <v>32784840</v>
      </c>
      <c r="AA35" t="b">
        <v>0</v>
      </c>
      <c r="AB35">
        <v>16.46</v>
      </c>
      <c r="AC35">
        <v>17.09</v>
      </c>
      <c r="AD35">
        <v>15.84</v>
      </c>
      <c r="AE35">
        <v>0.586</v>
      </c>
      <c r="AF35">
        <v>0.076</v>
      </c>
      <c r="AG35">
        <v>17.14</v>
      </c>
      <c r="AH35">
        <v>15.72</v>
      </c>
      <c r="AI35" t="b">
        <v>0</v>
      </c>
      <c r="AJ35">
        <v>0.319</v>
      </c>
      <c r="AK35">
        <v>16.09</v>
      </c>
      <c r="AL35">
        <v>15.82</v>
      </c>
      <c r="AM35">
        <v>15.84</v>
      </c>
      <c r="AN35">
        <v>14.75</v>
      </c>
      <c r="AO35">
        <v>16.09</v>
      </c>
      <c r="AP35" t="s">
        <v>280</v>
      </c>
      <c r="AQ35">
        <v>14.75</v>
      </c>
      <c r="AR35">
        <v>18.23</v>
      </c>
      <c r="AS35">
        <v>0.05</v>
      </c>
      <c r="AT35">
        <v>0.07000000000000001</v>
      </c>
      <c r="AU35">
        <v>60</v>
      </c>
      <c r="AV35">
        <v>0.9120882327049564</v>
      </c>
      <c r="AW35">
        <v>4</v>
      </c>
      <c r="AX35">
        <v>6.25</v>
      </c>
      <c r="AY35">
        <v>549</v>
      </c>
      <c r="AZ35">
        <v>1000</v>
      </c>
      <c r="BA35">
        <v>15000</v>
      </c>
      <c r="BD35">
        <v>12.37</v>
      </c>
      <c r="BE35">
        <v>12.37</v>
      </c>
      <c r="BF35">
        <v>3.74</v>
      </c>
      <c r="BG35">
        <v>0.46</v>
      </c>
      <c r="BH35">
        <v>0.85</v>
      </c>
      <c r="BI35">
        <v>0.9399999999999999</v>
      </c>
      <c r="BJ35">
        <v>2.94</v>
      </c>
      <c r="BK35">
        <v>27.66</v>
      </c>
      <c r="BM35">
        <v>0.9399999999999999</v>
      </c>
      <c r="BN35" t="s">
        <v>302</v>
      </c>
      <c r="BO35" t="b">
        <v>0</v>
      </c>
      <c r="BP35" s="1">
        <f>IFERROR(RANK.EQ(AX35,AX$2:AX$213,0),"")</f>
        <v>0</v>
      </c>
      <c r="BQ35">
        <f>IFERROR(Y35/Z35,"")</f>
        <v>0</v>
      </c>
      <c r="BR35">
        <f>IFERROR(U35-V35,"")</f>
        <v>0</v>
      </c>
      <c r="BS35">
        <f>IFERROR(U35&gt;V35,"")</f>
        <v>0</v>
      </c>
      <c r="BT35">
        <f>IF(AND(ISNUMBER(D35),ISNUMBER(H35),D35&gt;=H35), OR(O35=TRUE,P35=TRUE), FALSE)</f>
        <v>0</v>
      </c>
      <c r="BU35">
        <f>AND(ISNUMBER(R35), R35&gt;=45, R35&lt;=60, W35=TRUE, E35&gt;=-20)</f>
        <v>0</v>
      </c>
      <c r="BV35">
        <f>OR(AI35=TRUE,AA35=TRUE)</f>
        <v>0</v>
      </c>
      <c r="BW35">
        <f>IFERROR( (AR35-D35) / MAX(D35-AQ35,1E-9) ,"")</f>
        <v>0</v>
      </c>
      <c r="BX35">
        <f>IFERROR(BW35&gt;=2, FALSE)</f>
        <v>0</v>
      </c>
      <c r="BY35" s="1">
        <f>IFERROR(ROUNDDOWN(MIN(IF(BA35&gt;0, BA35/D35, 1E99),IF(AZ35&gt;0, AZ35/MAX(D35-AQ35,1E-9), 1E99)),0),"")</f>
        <v>0</v>
      </c>
      <c r="BZ35" s="2">
        <f>IF(AND(ISNUMBER(D35),ISNUMBER(AT35)), D35*(1-AT35), "")</f>
        <v>0</v>
      </c>
      <c r="CA35">
        <f>AND(BT35=TRUE,BU35=TRUE,BV35=TRUE,BX35=TRUE)</f>
        <v>0</v>
      </c>
    </row>
    <row r="36" spans="1:79" x14ac:dyDescent="0.25">
      <c r="A36" t="s">
        <v>101</v>
      </c>
      <c r="B36">
        <f>HYPERLINK("data/charts/PH.png", "Open")</f>
        <v>0</v>
      </c>
      <c r="C36" t="s">
        <v>279</v>
      </c>
      <c r="D36">
        <v>729.96</v>
      </c>
      <c r="E36">
        <v>-4.45</v>
      </c>
      <c r="F36">
        <v>49.44</v>
      </c>
      <c r="G36">
        <v>10.08</v>
      </c>
      <c r="H36">
        <v>663.11</v>
      </c>
      <c r="I36">
        <v>0.07190000000000001</v>
      </c>
      <c r="J36" t="b">
        <v>1</v>
      </c>
      <c r="K36">
        <v>704.67</v>
      </c>
      <c r="L36">
        <v>729.16</v>
      </c>
      <c r="M36">
        <v>727.53</v>
      </c>
      <c r="N36">
        <v>707.01</v>
      </c>
      <c r="O36" t="b">
        <v>1</v>
      </c>
      <c r="P36" t="b">
        <v>1</v>
      </c>
      <c r="Q36" t="b">
        <v>1</v>
      </c>
      <c r="R36">
        <v>52.66</v>
      </c>
      <c r="S36" t="b">
        <v>0</v>
      </c>
      <c r="T36" t="b">
        <v>0</v>
      </c>
      <c r="U36">
        <v>9.670299999999999</v>
      </c>
      <c r="V36">
        <v>9.352</v>
      </c>
      <c r="W36" t="b">
        <v>1</v>
      </c>
      <c r="X36" t="b">
        <v>1</v>
      </c>
      <c r="Y36">
        <v>716100</v>
      </c>
      <c r="Z36">
        <v>741785</v>
      </c>
      <c r="AA36" t="b">
        <v>0</v>
      </c>
      <c r="AB36">
        <v>729.16</v>
      </c>
      <c r="AC36">
        <v>757.92</v>
      </c>
      <c r="AD36">
        <v>700.4</v>
      </c>
      <c r="AE36">
        <v>0.514</v>
      </c>
      <c r="AF36">
        <v>0.079</v>
      </c>
      <c r="AG36">
        <v>763.99</v>
      </c>
      <c r="AH36">
        <v>692.02</v>
      </c>
      <c r="AI36" t="b">
        <v>0</v>
      </c>
      <c r="AJ36">
        <v>15.521</v>
      </c>
      <c r="AK36">
        <v>706.6799999999999</v>
      </c>
      <c r="AL36">
        <v>692.02</v>
      </c>
      <c r="AM36">
        <v>700.4</v>
      </c>
      <c r="AN36">
        <v>649.66</v>
      </c>
      <c r="AO36">
        <v>706.6799999999999</v>
      </c>
      <c r="AP36" t="s">
        <v>280</v>
      </c>
      <c r="AQ36">
        <v>649.66</v>
      </c>
      <c r="AR36">
        <v>802.96</v>
      </c>
      <c r="AS36">
        <v>0.05</v>
      </c>
      <c r="AT36">
        <v>0.07000000000000001</v>
      </c>
      <c r="AU36">
        <v>60</v>
      </c>
      <c r="AV36">
        <v>0.9090903867025304</v>
      </c>
      <c r="AW36">
        <v>4</v>
      </c>
      <c r="AX36">
        <v>6.25</v>
      </c>
      <c r="AY36">
        <v>12</v>
      </c>
      <c r="AZ36">
        <v>1000</v>
      </c>
      <c r="BA36">
        <v>15000</v>
      </c>
      <c r="BD36">
        <v>26.89</v>
      </c>
      <c r="BE36">
        <v>24.79</v>
      </c>
      <c r="BF36">
        <v>99</v>
      </c>
      <c r="BG36">
        <v>0.25</v>
      </c>
      <c r="BH36">
        <v>0.7</v>
      </c>
      <c r="BI36">
        <v>4.59</v>
      </c>
      <c r="BJ36">
        <v>1.49</v>
      </c>
      <c r="BK36">
        <v>19.37</v>
      </c>
      <c r="BM36">
        <v>1.53</v>
      </c>
      <c r="BN36" t="s">
        <v>302</v>
      </c>
      <c r="BO36" t="b">
        <v>0</v>
      </c>
      <c r="BP36" s="1">
        <f>IFERROR(RANK.EQ(AX36,AX$2:AX$213,0),"")</f>
        <v>0</v>
      </c>
      <c r="BQ36">
        <f>IFERROR(Y36/Z36,"")</f>
        <v>0</v>
      </c>
      <c r="BR36">
        <f>IFERROR(U36-V36,"")</f>
        <v>0</v>
      </c>
      <c r="BS36">
        <f>IFERROR(U36&gt;V36,"")</f>
        <v>0</v>
      </c>
      <c r="BT36">
        <f>IF(AND(ISNUMBER(D36),ISNUMBER(H36),D36&gt;=H36), OR(O36=TRUE,P36=TRUE), FALSE)</f>
        <v>0</v>
      </c>
      <c r="BU36">
        <f>AND(ISNUMBER(R36), R36&gt;=45, R36&lt;=60, W36=TRUE, E36&gt;=-20)</f>
        <v>0</v>
      </c>
      <c r="BV36">
        <f>OR(AI36=TRUE,AA36=TRUE)</f>
        <v>0</v>
      </c>
      <c r="BW36">
        <f>IFERROR( (AR36-D36) / MAX(D36-AQ36,1E-9) ,"")</f>
        <v>0</v>
      </c>
      <c r="BX36">
        <f>IFERROR(BW36&gt;=2, FALSE)</f>
        <v>0</v>
      </c>
      <c r="BY36" s="1">
        <f>IFERROR(ROUNDDOWN(MIN(IF(BA36&gt;0, BA36/D36, 1E99),IF(AZ36&gt;0, AZ36/MAX(D36-AQ36,1E-9), 1E99)),0),"")</f>
        <v>0</v>
      </c>
      <c r="BZ36" s="2">
        <f>IF(AND(ISNUMBER(D36),ISNUMBER(AT36)), D36*(1-AT36), "")</f>
        <v>0</v>
      </c>
      <c r="CA36">
        <f>AND(BT36=TRUE,BU36=TRUE,BV36=TRUE,BX36=TRUE)</f>
        <v>0</v>
      </c>
    </row>
    <row r="37" spans="1:79" x14ac:dyDescent="0.25">
      <c r="A37" t="s">
        <v>102</v>
      </c>
      <c r="B37">
        <f>HYPERLINK("data/charts/FITB.png", "Open")</f>
        <v>0</v>
      </c>
      <c r="C37" t="s">
        <v>279</v>
      </c>
      <c r="D37">
        <v>42.48</v>
      </c>
      <c r="E37">
        <v>-13.43</v>
      </c>
      <c r="F37">
        <v>31.72</v>
      </c>
      <c r="G37">
        <v>2.24</v>
      </c>
      <c r="H37">
        <v>41.55</v>
      </c>
      <c r="I37">
        <v>-0.0056</v>
      </c>
      <c r="J37" t="b">
        <v>0</v>
      </c>
      <c r="K37">
        <v>41.56</v>
      </c>
      <c r="L37">
        <v>42.14</v>
      </c>
      <c r="M37">
        <v>42.12</v>
      </c>
      <c r="N37">
        <v>41.45</v>
      </c>
      <c r="O37" t="b">
        <v>1</v>
      </c>
      <c r="P37" t="b">
        <v>1</v>
      </c>
      <c r="Q37" t="b">
        <v>1</v>
      </c>
      <c r="R37">
        <v>54.24</v>
      </c>
      <c r="S37" t="b">
        <v>0</v>
      </c>
      <c r="T37" t="b">
        <v>0</v>
      </c>
      <c r="U37">
        <v>0.1559</v>
      </c>
      <c r="V37">
        <v>0.1002</v>
      </c>
      <c r="W37" t="b">
        <v>1</v>
      </c>
      <c r="X37" t="b">
        <v>1</v>
      </c>
      <c r="Y37">
        <v>3566700</v>
      </c>
      <c r="Z37">
        <v>4446915</v>
      </c>
      <c r="AA37" t="b">
        <v>0</v>
      </c>
      <c r="AB37">
        <v>42.14</v>
      </c>
      <c r="AC37">
        <v>43.56</v>
      </c>
      <c r="AD37">
        <v>40.71</v>
      </c>
      <c r="AE37">
        <v>0.621</v>
      </c>
      <c r="AF37">
        <v>0.068</v>
      </c>
      <c r="AG37">
        <v>43.68</v>
      </c>
      <c r="AH37">
        <v>40.22</v>
      </c>
      <c r="AI37" t="b">
        <v>0</v>
      </c>
      <c r="AJ37">
        <v>0.744</v>
      </c>
      <c r="AK37">
        <v>41.36</v>
      </c>
      <c r="AL37">
        <v>40.22</v>
      </c>
      <c r="AM37">
        <v>40.71</v>
      </c>
      <c r="AN37">
        <v>37.81</v>
      </c>
      <c r="AO37">
        <v>41.36</v>
      </c>
      <c r="AP37" t="s">
        <v>280</v>
      </c>
      <c r="AQ37">
        <v>37.81</v>
      </c>
      <c r="AR37">
        <v>46.73</v>
      </c>
      <c r="AS37">
        <v>0.05</v>
      </c>
      <c r="AT37">
        <v>0.07000000000000001</v>
      </c>
      <c r="AU37">
        <v>60</v>
      </c>
      <c r="AV37">
        <v>0.91006442705741</v>
      </c>
      <c r="AW37">
        <v>4</v>
      </c>
      <c r="AX37">
        <v>6.25</v>
      </c>
      <c r="AY37">
        <v>214</v>
      </c>
      <c r="AZ37">
        <v>1000</v>
      </c>
      <c r="BA37">
        <v>15000</v>
      </c>
      <c r="BD37">
        <v>13.23</v>
      </c>
      <c r="BE37">
        <v>11.64</v>
      </c>
      <c r="BF37">
        <v>3.48</v>
      </c>
      <c r="BG37">
        <v>0.46</v>
      </c>
      <c r="BH37">
        <v>0.83</v>
      </c>
      <c r="BI37">
        <v>6.88</v>
      </c>
      <c r="BJ37">
        <v>23.94</v>
      </c>
      <c r="BK37">
        <v>28.25</v>
      </c>
      <c r="BM37">
        <v>2.94</v>
      </c>
      <c r="BN37" t="s">
        <v>285</v>
      </c>
      <c r="BO37" t="b">
        <v>0</v>
      </c>
      <c r="BP37" s="1">
        <f>IFERROR(RANK.EQ(AX37,AX$2:AX$213,0),"")</f>
        <v>0</v>
      </c>
      <c r="BQ37">
        <f>IFERROR(Y37/Z37,"")</f>
        <v>0</v>
      </c>
      <c r="BR37">
        <f>IFERROR(U37-V37,"")</f>
        <v>0</v>
      </c>
      <c r="BS37">
        <f>IFERROR(U37&gt;V37,"")</f>
        <v>0</v>
      </c>
      <c r="BT37">
        <f>IF(AND(ISNUMBER(D37),ISNUMBER(H37),D37&gt;=H37), OR(O37=TRUE,P37=TRUE), FALSE)</f>
        <v>0</v>
      </c>
      <c r="BU37">
        <f>AND(ISNUMBER(R37), R37&gt;=45, R37&lt;=60, W37=TRUE, E37&gt;=-20)</f>
        <v>0</v>
      </c>
      <c r="BV37">
        <f>OR(AI37=TRUE,AA37=TRUE)</f>
        <v>0</v>
      </c>
      <c r="BW37">
        <f>IFERROR( (AR37-D37) / MAX(D37-AQ37,1E-9) ,"")</f>
        <v>0</v>
      </c>
      <c r="BX37">
        <f>IFERROR(BW37&gt;=2, FALSE)</f>
        <v>0</v>
      </c>
      <c r="BY37" s="1">
        <f>IFERROR(ROUNDDOWN(MIN(IF(BA37&gt;0, BA37/D37, 1E99),IF(AZ37&gt;0, AZ37/MAX(D37-AQ37,1E-9), 1E99)),0),"")</f>
        <v>0</v>
      </c>
      <c r="BZ37" s="2">
        <f>IF(AND(ISNUMBER(D37),ISNUMBER(AT37)), D37*(1-AT37), "")</f>
        <v>0</v>
      </c>
      <c r="CA37">
        <f>AND(BT37=TRUE,BU37=TRUE,BV37=TRUE,BX37=TRUE)</f>
        <v>0</v>
      </c>
    </row>
    <row r="38" spans="1:79" x14ac:dyDescent="0.25">
      <c r="A38" t="s">
        <v>103</v>
      </c>
      <c r="B38">
        <f>HYPERLINK("data/charts/DVN.png", "Open")</f>
        <v>0</v>
      </c>
      <c r="C38" t="s">
        <v>279</v>
      </c>
      <c r="D38">
        <v>33.69</v>
      </c>
      <c r="E38">
        <v>-26.82</v>
      </c>
      <c r="F38">
        <v>30.13</v>
      </c>
      <c r="G38">
        <v>-1.31</v>
      </c>
      <c r="H38">
        <v>34.14</v>
      </c>
      <c r="I38">
        <v>-0.1184</v>
      </c>
      <c r="J38" t="b">
        <v>0</v>
      </c>
      <c r="K38">
        <v>33.18</v>
      </c>
      <c r="L38">
        <v>33.09</v>
      </c>
      <c r="M38">
        <v>33.14</v>
      </c>
      <c r="N38">
        <v>33.01</v>
      </c>
      <c r="O38" t="b">
        <v>1</v>
      </c>
      <c r="P38" t="b">
        <v>1</v>
      </c>
      <c r="Q38" t="b">
        <v>1</v>
      </c>
      <c r="R38">
        <v>55.11</v>
      </c>
      <c r="S38" t="b">
        <v>0</v>
      </c>
      <c r="T38" t="b">
        <v>0</v>
      </c>
      <c r="U38">
        <v>0.1215</v>
      </c>
      <c r="V38">
        <v>0.0165</v>
      </c>
      <c r="W38" t="b">
        <v>1</v>
      </c>
      <c r="X38" t="b">
        <v>0</v>
      </c>
      <c r="Y38">
        <v>5364900</v>
      </c>
      <c r="Z38">
        <v>7556015</v>
      </c>
      <c r="AA38" t="b">
        <v>0</v>
      </c>
      <c r="AB38">
        <v>33.09</v>
      </c>
      <c r="AC38">
        <v>34.4</v>
      </c>
      <c r="AD38">
        <v>31.78</v>
      </c>
      <c r="AE38">
        <v>0.73</v>
      </c>
      <c r="AF38">
        <v>0.079</v>
      </c>
      <c r="AG38">
        <v>34.33</v>
      </c>
      <c r="AH38">
        <v>31.65</v>
      </c>
      <c r="AI38" t="b">
        <v>0</v>
      </c>
      <c r="AJ38">
        <v>0.949</v>
      </c>
      <c r="AK38">
        <v>32.27</v>
      </c>
      <c r="AL38">
        <v>31.65</v>
      </c>
      <c r="AM38">
        <v>31.78</v>
      </c>
      <c r="AN38">
        <v>29.98</v>
      </c>
      <c r="AO38">
        <v>32.27</v>
      </c>
      <c r="AP38" t="s">
        <v>280</v>
      </c>
      <c r="AQ38">
        <v>29.98</v>
      </c>
      <c r="AR38">
        <v>37.06</v>
      </c>
      <c r="AS38">
        <v>0.05</v>
      </c>
      <c r="AT38">
        <v>0.07000000000000001</v>
      </c>
      <c r="AU38">
        <v>60</v>
      </c>
      <c r="AV38">
        <v>0.9083565015441619</v>
      </c>
      <c r="AW38">
        <v>4</v>
      </c>
      <c r="AX38">
        <v>6.25</v>
      </c>
      <c r="AY38">
        <v>269</v>
      </c>
      <c r="AZ38">
        <v>1000</v>
      </c>
      <c r="BA38">
        <v>15000</v>
      </c>
      <c r="BD38">
        <v>7.59</v>
      </c>
      <c r="BE38">
        <v>7.55</v>
      </c>
      <c r="BF38">
        <v>2.85</v>
      </c>
      <c r="BG38">
        <v>0.26</v>
      </c>
      <c r="BH38">
        <v>0.59</v>
      </c>
      <c r="BI38">
        <v>-3.77</v>
      </c>
      <c r="BJ38">
        <v>84.42</v>
      </c>
      <c r="BK38">
        <v>20.99</v>
      </c>
      <c r="BM38">
        <v>1.17</v>
      </c>
      <c r="BN38" t="s">
        <v>287</v>
      </c>
      <c r="BO38" t="b">
        <v>0</v>
      </c>
      <c r="BP38" s="1">
        <f>IFERROR(RANK.EQ(AX38,AX$2:AX$213,0),"")</f>
        <v>0</v>
      </c>
      <c r="BQ38">
        <f>IFERROR(Y38/Z38,"")</f>
        <v>0</v>
      </c>
      <c r="BR38">
        <f>IFERROR(U38-V38,"")</f>
        <v>0</v>
      </c>
      <c r="BS38">
        <f>IFERROR(U38&gt;V38,"")</f>
        <v>0</v>
      </c>
      <c r="BT38">
        <f>IF(AND(ISNUMBER(D38),ISNUMBER(H38),D38&gt;=H38), OR(O38=TRUE,P38=TRUE), FALSE)</f>
        <v>0</v>
      </c>
      <c r="BU38">
        <f>AND(ISNUMBER(R38), R38&gt;=45, R38&lt;=60, W38=TRUE, E38&gt;=-20)</f>
        <v>0</v>
      </c>
      <c r="BV38">
        <f>OR(AI38=TRUE,AA38=TRUE)</f>
        <v>0</v>
      </c>
      <c r="BW38">
        <f>IFERROR( (AR38-D38) / MAX(D38-AQ38,1E-9) ,"")</f>
        <v>0</v>
      </c>
      <c r="BX38">
        <f>IFERROR(BW38&gt;=2, FALSE)</f>
        <v>0</v>
      </c>
      <c r="BY38" s="1">
        <f>IFERROR(ROUNDDOWN(MIN(IF(BA38&gt;0, BA38/D38, 1E99),IF(AZ38&gt;0, AZ38/MAX(D38-AQ38,1E-9), 1E99)),0),"")</f>
        <v>0</v>
      </c>
      <c r="BZ38" s="2">
        <f>IF(AND(ISNUMBER(D38),ISNUMBER(AT38)), D38*(1-AT38), "")</f>
        <v>0</v>
      </c>
      <c r="CA38">
        <f>AND(BT38=TRUE,BU38=TRUE,BV38=TRUE,BX38=TRUE)</f>
        <v>0</v>
      </c>
    </row>
    <row r="39" spans="1:79" x14ac:dyDescent="0.25">
      <c r="A39" t="s">
        <v>104</v>
      </c>
      <c r="B39">
        <f>HYPERLINK("data/charts/REI-UN_TO.png", "Open")</f>
        <v>0</v>
      </c>
      <c r="C39" t="s">
        <v>279</v>
      </c>
      <c r="D39">
        <v>17.93</v>
      </c>
      <c r="E39">
        <v>-13.92</v>
      </c>
      <c r="F39">
        <v>15.98</v>
      </c>
      <c r="G39">
        <v>-0.62</v>
      </c>
      <c r="H39">
        <v>18.04</v>
      </c>
      <c r="I39">
        <v>-0.0589</v>
      </c>
      <c r="J39" t="b">
        <v>0</v>
      </c>
      <c r="K39">
        <v>17.71</v>
      </c>
      <c r="L39">
        <v>17.81</v>
      </c>
      <c r="M39">
        <v>17.79</v>
      </c>
      <c r="N39">
        <v>17.71</v>
      </c>
      <c r="O39" t="b">
        <v>1</v>
      </c>
      <c r="P39" t="b">
        <v>1</v>
      </c>
      <c r="Q39" t="b">
        <v>1</v>
      </c>
      <c r="R39">
        <v>56.26</v>
      </c>
      <c r="S39" t="b">
        <v>0</v>
      </c>
      <c r="T39" t="b">
        <v>0</v>
      </c>
      <c r="U39">
        <v>0.0378</v>
      </c>
      <c r="V39">
        <v>0.0305</v>
      </c>
      <c r="W39" t="b">
        <v>1</v>
      </c>
      <c r="X39" t="b">
        <v>0</v>
      </c>
      <c r="Y39">
        <v>400130</v>
      </c>
      <c r="Z39">
        <v>687314</v>
      </c>
      <c r="AA39" t="b">
        <v>0</v>
      </c>
      <c r="AB39">
        <v>17.81</v>
      </c>
      <c r="AC39">
        <v>18.06</v>
      </c>
      <c r="AD39">
        <v>17.57</v>
      </c>
      <c r="AE39">
        <v>0.743</v>
      </c>
      <c r="AF39">
        <v>0.027</v>
      </c>
      <c r="AG39">
        <v>18.23</v>
      </c>
      <c r="AH39">
        <v>17.49</v>
      </c>
      <c r="AI39" t="b">
        <v>0</v>
      </c>
      <c r="AJ39">
        <v>0.244</v>
      </c>
      <c r="AK39">
        <v>17.56</v>
      </c>
      <c r="AL39">
        <v>17.51</v>
      </c>
      <c r="AM39">
        <v>17.57</v>
      </c>
      <c r="AN39">
        <v>15.96</v>
      </c>
      <c r="AO39">
        <v>17.57</v>
      </c>
      <c r="AP39" t="s">
        <v>281</v>
      </c>
      <c r="AQ39">
        <v>15.96</v>
      </c>
      <c r="AR39">
        <v>19.72</v>
      </c>
      <c r="AS39">
        <v>0.05</v>
      </c>
      <c r="AT39">
        <v>0.07000000000000001</v>
      </c>
      <c r="AU39">
        <v>60</v>
      </c>
      <c r="AV39">
        <v>0.908629145955639</v>
      </c>
      <c r="AW39">
        <v>4</v>
      </c>
      <c r="AX39">
        <v>6.25</v>
      </c>
      <c r="AY39">
        <v>507</v>
      </c>
      <c r="AZ39">
        <v>1000</v>
      </c>
      <c r="BA39">
        <v>15000</v>
      </c>
      <c r="BD39">
        <v>18.87</v>
      </c>
      <c r="BE39">
        <v>9.74</v>
      </c>
      <c r="BF39">
        <v>6.46</v>
      </c>
      <c r="BG39">
        <v>1.19</v>
      </c>
      <c r="BH39">
        <v>1.02</v>
      </c>
      <c r="BI39">
        <v>1.64</v>
      </c>
      <c r="BJ39">
        <v>-275</v>
      </c>
      <c r="BK39">
        <v>40.26</v>
      </c>
      <c r="BM39">
        <v>0.99</v>
      </c>
      <c r="BN39" t="s">
        <v>303</v>
      </c>
      <c r="BO39" t="b">
        <v>0</v>
      </c>
      <c r="BP39" s="1">
        <f>IFERROR(RANK.EQ(AX39,AX$2:AX$213,0),"")</f>
        <v>0</v>
      </c>
      <c r="BQ39">
        <f>IFERROR(Y39/Z39,"")</f>
        <v>0</v>
      </c>
      <c r="BR39">
        <f>IFERROR(U39-V39,"")</f>
        <v>0</v>
      </c>
      <c r="BS39">
        <f>IFERROR(U39&gt;V39,"")</f>
        <v>0</v>
      </c>
      <c r="BT39">
        <f>IF(AND(ISNUMBER(D39),ISNUMBER(H39),D39&gt;=H39), OR(O39=TRUE,P39=TRUE), FALSE)</f>
        <v>0</v>
      </c>
      <c r="BU39">
        <f>AND(ISNUMBER(R39), R39&gt;=45, R39&lt;=60, W39=TRUE, E39&gt;=-20)</f>
        <v>0</v>
      </c>
      <c r="BV39">
        <f>OR(AI39=TRUE,AA39=TRUE)</f>
        <v>0</v>
      </c>
      <c r="BW39">
        <f>IFERROR( (AR39-D39) / MAX(D39-AQ39,1E-9) ,"")</f>
        <v>0</v>
      </c>
      <c r="BX39">
        <f>IFERROR(BW39&gt;=2, FALSE)</f>
        <v>0</v>
      </c>
      <c r="BY39" s="1">
        <f>IFERROR(ROUNDDOWN(MIN(IF(BA39&gt;0, BA39/D39, 1E99),IF(AZ39&gt;0, AZ39/MAX(D39-AQ39,1E-9), 1E99)),0),"")</f>
        <v>0</v>
      </c>
      <c r="BZ39" s="2">
        <f>IF(AND(ISNUMBER(D39),ISNUMBER(AT39)), D39*(1-AT39), "")</f>
        <v>0</v>
      </c>
      <c r="CA39">
        <f>AND(BT39=TRUE,BU39=TRUE,BV39=TRUE,BX39=TRUE)</f>
        <v>0</v>
      </c>
    </row>
    <row r="40" spans="1:79" x14ac:dyDescent="0.25">
      <c r="A40" t="s">
        <v>105</v>
      </c>
      <c r="B40">
        <f>HYPERLINK("data/charts/NTAP.png", "Open")</f>
        <v>0</v>
      </c>
      <c r="C40" t="s">
        <v>279</v>
      </c>
      <c r="D40">
        <v>108.79</v>
      </c>
      <c r="E40">
        <v>-19.68</v>
      </c>
      <c r="F40">
        <v>51.43</v>
      </c>
      <c r="G40">
        <v>1.34</v>
      </c>
      <c r="H40">
        <v>107.35</v>
      </c>
      <c r="I40">
        <v>-0.0784</v>
      </c>
      <c r="J40" t="b">
        <v>0</v>
      </c>
      <c r="K40">
        <v>105.18</v>
      </c>
      <c r="L40">
        <v>105.54</v>
      </c>
      <c r="M40">
        <v>106.01</v>
      </c>
      <c r="N40">
        <v>104.36</v>
      </c>
      <c r="O40" t="b">
        <v>1</v>
      </c>
      <c r="P40" t="b">
        <v>1</v>
      </c>
      <c r="Q40" t="b">
        <v>1</v>
      </c>
      <c r="R40">
        <v>59.83</v>
      </c>
      <c r="S40" t="b">
        <v>0</v>
      </c>
      <c r="T40" t="b">
        <v>0</v>
      </c>
      <c r="U40">
        <v>0.9633</v>
      </c>
      <c r="V40">
        <v>0.4221</v>
      </c>
      <c r="W40" t="b">
        <v>1</v>
      </c>
      <c r="X40" t="b">
        <v>1</v>
      </c>
      <c r="Y40">
        <v>2066200</v>
      </c>
      <c r="Z40">
        <v>1490120</v>
      </c>
      <c r="AA40" t="b">
        <v>0</v>
      </c>
      <c r="AB40">
        <v>105.54</v>
      </c>
      <c r="AC40">
        <v>110.07</v>
      </c>
      <c r="AD40">
        <v>101.01</v>
      </c>
      <c r="AE40">
        <v>0.858</v>
      </c>
      <c r="AF40">
        <v>0.08599999999999999</v>
      </c>
      <c r="AG40">
        <v>110.01</v>
      </c>
      <c r="AH40">
        <v>100.56</v>
      </c>
      <c r="AI40" t="b">
        <v>0</v>
      </c>
      <c r="AJ40">
        <v>2.146</v>
      </c>
      <c r="AK40">
        <v>105.57</v>
      </c>
      <c r="AL40">
        <v>100.56</v>
      </c>
      <c r="AM40">
        <v>101.01</v>
      </c>
      <c r="AN40">
        <v>96.81999999999999</v>
      </c>
      <c r="AO40">
        <v>105.57</v>
      </c>
      <c r="AP40" t="s">
        <v>280</v>
      </c>
      <c r="AQ40">
        <v>96.81999999999999</v>
      </c>
      <c r="AR40">
        <v>119.67</v>
      </c>
      <c r="AS40">
        <v>0.05</v>
      </c>
      <c r="AT40">
        <v>0.07000000000000001</v>
      </c>
      <c r="AU40">
        <v>60</v>
      </c>
      <c r="AV40">
        <v>0.9089388681966803</v>
      </c>
      <c r="AW40">
        <v>4</v>
      </c>
      <c r="AX40">
        <v>6.25</v>
      </c>
      <c r="AY40">
        <v>83</v>
      </c>
      <c r="AZ40">
        <v>1000</v>
      </c>
      <c r="BA40">
        <v>15000</v>
      </c>
      <c r="BD40">
        <v>19.19</v>
      </c>
      <c r="BE40">
        <v>14.35</v>
      </c>
      <c r="BF40">
        <v>1.91</v>
      </c>
      <c r="BG40">
        <v>0.37</v>
      </c>
      <c r="BH40">
        <v>3.36</v>
      </c>
      <c r="BI40">
        <v>5.55</v>
      </c>
      <c r="BJ40">
        <v>13.71</v>
      </c>
      <c r="BK40">
        <v>19.63</v>
      </c>
      <c r="BM40">
        <v>1.14</v>
      </c>
      <c r="BN40" t="s">
        <v>304</v>
      </c>
      <c r="BO40" t="b">
        <v>0</v>
      </c>
      <c r="BP40" s="1">
        <f>IFERROR(RANK.EQ(AX40,AX$2:AX$213,0),"")</f>
        <v>0</v>
      </c>
      <c r="BQ40">
        <f>IFERROR(Y40/Z40,"")</f>
        <v>0</v>
      </c>
      <c r="BR40">
        <f>IFERROR(U40-V40,"")</f>
        <v>0</v>
      </c>
      <c r="BS40">
        <f>IFERROR(U40&gt;V40,"")</f>
        <v>0</v>
      </c>
      <c r="BT40">
        <f>IF(AND(ISNUMBER(D40),ISNUMBER(H40),D40&gt;=H40), OR(O40=TRUE,P40=TRUE), FALSE)</f>
        <v>0</v>
      </c>
      <c r="BU40">
        <f>AND(ISNUMBER(R40), R40&gt;=45, R40&lt;=60, W40=TRUE, E40&gt;=-20)</f>
        <v>0</v>
      </c>
      <c r="BV40">
        <f>OR(AI40=TRUE,AA40=TRUE)</f>
        <v>0</v>
      </c>
      <c r="BW40">
        <f>IFERROR( (AR40-D40) / MAX(D40-AQ40,1E-9) ,"")</f>
        <v>0</v>
      </c>
      <c r="BX40">
        <f>IFERROR(BW40&gt;=2, FALSE)</f>
        <v>0</v>
      </c>
      <c r="BY40" s="1">
        <f>IFERROR(ROUNDDOWN(MIN(IF(BA40&gt;0, BA40/D40, 1E99),IF(AZ40&gt;0, AZ40/MAX(D40-AQ40,1E-9), 1E99)),0),"")</f>
        <v>0</v>
      </c>
      <c r="BZ40" s="2">
        <f>IF(AND(ISNUMBER(D40),ISNUMBER(AT40)), D40*(1-AT40), "")</f>
        <v>0</v>
      </c>
      <c r="CA40">
        <f>AND(BT40=TRUE,BU40=TRUE,BV40=TRUE,BX40=TRUE)</f>
        <v>0</v>
      </c>
    </row>
    <row r="41" spans="1:79" x14ac:dyDescent="0.25">
      <c r="A41" t="s">
        <v>106</v>
      </c>
      <c r="B41">
        <f>HYPERLINK("data/charts/ENB_TO.png", "Open")</f>
        <v>0</v>
      </c>
      <c r="C41" t="s">
        <v>279</v>
      </c>
      <c r="D41">
        <v>65.01000000000001</v>
      </c>
      <c r="E41">
        <v>-2.36</v>
      </c>
      <c r="F41">
        <v>23.22</v>
      </c>
      <c r="G41">
        <v>4.92</v>
      </c>
      <c r="H41">
        <v>61.96</v>
      </c>
      <c r="I41">
        <v>0.0527</v>
      </c>
      <c r="J41" t="b">
        <v>1</v>
      </c>
      <c r="K41">
        <v>62.46</v>
      </c>
      <c r="L41">
        <v>63.42</v>
      </c>
      <c r="M41">
        <v>63.86</v>
      </c>
      <c r="N41">
        <v>63.01</v>
      </c>
      <c r="O41" t="b">
        <v>1</v>
      </c>
      <c r="P41" t="b">
        <v>1</v>
      </c>
      <c r="Q41" t="b">
        <v>1</v>
      </c>
      <c r="R41">
        <v>60.56</v>
      </c>
      <c r="S41" t="b">
        <v>0</v>
      </c>
      <c r="T41" t="b">
        <v>0</v>
      </c>
      <c r="U41">
        <v>1.0377</v>
      </c>
      <c r="V41">
        <v>0.7766999999999999</v>
      </c>
      <c r="W41" t="b">
        <v>0</v>
      </c>
      <c r="X41" t="b">
        <v>0</v>
      </c>
      <c r="Y41">
        <v>20026300</v>
      </c>
      <c r="Z41">
        <v>9200200</v>
      </c>
      <c r="AA41" t="b">
        <v>0</v>
      </c>
      <c r="AB41">
        <v>63.42</v>
      </c>
      <c r="AC41">
        <v>66.83</v>
      </c>
      <c r="AD41">
        <v>60.02</v>
      </c>
      <c r="AE41">
        <v>0.733</v>
      </c>
      <c r="AF41">
        <v>0.107</v>
      </c>
      <c r="AG41">
        <v>66.58</v>
      </c>
      <c r="AH41">
        <v>60.95</v>
      </c>
      <c r="AI41" t="b">
        <v>0</v>
      </c>
      <c r="AJ41">
        <v>0.861</v>
      </c>
      <c r="AK41">
        <v>63.72</v>
      </c>
      <c r="AL41">
        <v>61.22</v>
      </c>
      <c r="AM41">
        <v>60.02</v>
      </c>
      <c r="AN41">
        <v>57.86</v>
      </c>
      <c r="AO41">
        <v>63.72</v>
      </c>
      <c r="AP41" t="s">
        <v>280</v>
      </c>
      <c r="AQ41">
        <v>57.86</v>
      </c>
      <c r="AR41">
        <v>71.51000000000001</v>
      </c>
      <c r="AS41">
        <v>0.05</v>
      </c>
      <c r="AT41">
        <v>0.07000000000000001</v>
      </c>
      <c r="AU41">
        <v>60</v>
      </c>
      <c r="AV41">
        <v>0.9090903387053224</v>
      </c>
      <c r="AW41">
        <v>4</v>
      </c>
      <c r="AX41">
        <v>6.25</v>
      </c>
      <c r="AY41">
        <v>139</v>
      </c>
      <c r="AZ41">
        <v>1000</v>
      </c>
      <c r="BA41">
        <v>15000</v>
      </c>
      <c r="BD41">
        <v>22.89</v>
      </c>
      <c r="BE41">
        <v>21.82</v>
      </c>
      <c r="BF41">
        <v>5.8</v>
      </c>
      <c r="BG41">
        <v>1.31</v>
      </c>
      <c r="BH41">
        <v>1.48</v>
      </c>
      <c r="BI41">
        <v>-19.6</v>
      </c>
      <c r="BJ41">
        <v>-3.6</v>
      </c>
      <c r="BK41">
        <v>15.32</v>
      </c>
      <c r="BM41">
        <v>1.32</v>
      </c>
      <c r="BN41" t="s">
        <v>305</v>
      </c>
      <c r="BO41" t="b">
        <v>1</v>
      </c>
      <c r="BP41" s="1">
        <f>IFERROR(RANK.EQ(AX41,AX$2:AX$213,0),"")</f>
        <v>0</v>
      </c>
      <c r="BQ41">
        <f>IFERROR(Y41/Z41,"")</f>
        <v>0</v>
      </c>
      <c r="BR41">
        <f>IFERROR(U41-V41,"")</f>
        <v>0</v>
      </c>
      <c r="BS41">
        <f>IFERROR(U41&gt;V41,"")</f>
        <v>0</v>
      </c>
      <c r="BT41">
        <f>IF(AND(ISNUMBER(D41),ISNUMBER(H41),D41&gt;=H41), OR(O41=TRUE,P41=TRUE), FALSE)</f>
        <v>0</v>
      </c>
      <c r="BU41">
        <f>AND(ISNUMBER(R41), R41&gt;=45, R41&lt;=60, W41=TRUE, E41&gt;=-20)</f>
        <v>0</v>
      </c>
      <c r="BV41">
        <f>OR(AI41=TRUE,AA41=TRUE)</f>
        <v>0</v>
      </c>
      <c r="BW41">
        <f>IFERROR( (AR41-D41) / MAX(D41-AQ41,1E-9) ,"")</f>
        <v>0</v>
      </c>
      <c r="BX41">
        <f>IFERROR(BW41&gt;=2, FALSE)</f>
        <v>0</v>
      </c>
      <c r="BY41" s="1">
        <f>IFERROR(ROUNDDOWN(MIN(IF(BA41&gt;0, BA41/D41, 1E99),IF(AZ41&gt;0, AZ41/MAX(D41-AQ41,1E-9), 1E99)),0),"")</f>
        <v>0</v>
      </c>
      <c r="BZ41" s="2">
        <f>IF(AND(ISNUMBER(D41),ISNUMBER(AT41)), D41*(1-AT41), "")</f>
        <v>0</v>
      </c>
      <c r="CA41">
        <f>AND(BT41=TRUE,BU41=TRUE,BV41=TRUE,BX41=TRUE)</f>
        <v>0</v>
      </c>
    </row>
    <row r="42" spans="1:79" x14ac:dyDescent="0.25">
      <c r="A42" t="s">
        <v>107</v>
      </c>
      <c r="B42">
        <f>HYPERLINK("data/charts/URI.png", "Open")</f>
        <v>0</v>
      </c>
      <c r="C42" t="s">
        <v>279</v>
      </c>
      <c r="D42">
        <v>908.88</v>
      </c>
      <c r="E42">
        <v>-2.62</v>
      </c>
      <c r="F42">
        <v>72.81999999999999</v>
      </c>
      <c r="G42">
        <v>23.69</v>
      </c>
      <c r="H42">
        <v>734.8200000000001</v>
      </c>
      <c r="I42">
        <v>0.0203</v>
      </c>
      <c r="J42" t="b">
        <v>1</v>
      </c>
      <c r="K42">
        <v>799.79</v>
      </c>
      <c r="L42">
        <v>870.1</v>
      </c>
      <c r="M42">
        <v>868.08</v>
      </c>
      <c r="N42">
        <v>814.45</v>
      </c>
      <c r="O42" t="b">
        <v>1</v>
      </c>
      <c r="P42" t="b">
        <v>1</v>
      </c>
      <c r="Q42" t="b">
        <v>1</v>
      </c>
      <c r="R42">
        <v>65.06</v>
      </c>
      <c r="S42" t="b">
        <v>0</v>
      </c>
      <c r="T42" t="b">
        <v>0</v>
      </c>
      <c r="U42">
        <v>31.0914</v>
      </c>
      <c r="V42">
        <v>29.6474</v>
      </c>
      <c r="W42" t="b">
        <v>1</v>
      </c>
      <c r="X42" t="b">
        <v>1</v>
      </c>
      <c r="Y42">
        <v>372700</v>
      </c>
      <c r="Z42">
        <v>625070</v>
      </c>
      <c r="AA42" t="b">
        <v>0</v>
      </c>
      <c r="AB42">
        <v>870.1</v>
      </c>
      <c r="AC42">
        <v>949.67</v>
      </c>
      <c r="AD42">
        <v>790.52</v>
      </c>
      <c r="AE42">
        <v>0.744</v>
      </c>
      <c r="AF42">
        <v>0.183</v>
      </c>
      <c r="AG42">
        <v>933.3200000000001</v>
      </c>
      <c r="AH42">
        <v>777.45</v>
      </c>
      <c r="AI42" t="b">
        <v>0</v>
      </c>
      <c r="AJ42">
        <v>20.926</v>
      </c>
      <c r="AK42">
        <v>877.49</v>
      </c>
      <c r="AL42">
        <v>848.75</v>
      </c>
      <c r="AM42">
        <v>790.52</v>
      </c>
      <c r="AN42">
        <v>808.9</v>
      </c>
      <c r="AO42">
        <v>877.49</v>
      </c>
      <c r="AP42" t="s">
        <v>280</v>
      </c>
      <c r="AQ42">
        <v>808.9</v>
      </c>
      <c r="AR42">
        <v>999.77</v>
      </c>
      <c r="AS42">
        <v>0.05</v>
      </c>
      <c r="AT42">
        <v>0.07000000000000001</v>
      </c>
      <c r="AU42">
        <v>60</v>
      </c>
      <c r="AV42">
        <v>0.9090817231277442</v>
      </c>
      <c r="AW42">
        <v>4</v>
      </c>
      <c r="AX42">
        <v>6.25</v>
      </c>
      <c r="AY42">
        <v>10</v>
      </c>
      <c r="AZ42">
        <v>1000</v>
      </c>
      <c r="BA42">
        <v>15000</v>
      </c>
      <c r="BD42">
        <v>23.53</v>
      </c>
      <c r="BE42">
        <v>19.4</v>
      </c>
      <c r="BF42">
        <v>79</v>
      </c>
      <c r="BG42">
        <v>0.18</v>
      </c>
      <c r="BH42">
        <v>1.6</v>
      </c>
      <c r="BI42">
        <v>6.02</v>
      </c>
      <c r="BJ42">
        <v>21.09</v>
      </c>
      <c r="BK42">
        <v>15.77</v>
      </c>
      <c r="BM42">
        <v>-10.69</v>
      </c>
      <c r="BN42" t="s">
        <v>285</v>
      </c>
      <c r="BO42" t="b">
        <v>0</v>
      </c>
      <c r="BP42" s="1">
        <f>IFERROR(RANK.EQ(AX42,AX$2:AX$213,0),"")</f>
        <v>0</v>
      </c>
      <c r="BQ42">
        <f>IFERROR(Y42/Z42,"")</f>
        <v>0</v>
      </c>
      <c r="BR42">
        <f>IFERROR(U42-V42,"")</f>
        <v>0</v>
      </c>
      <c r="BS42">
        <f>IFERROR(U42&gt;V42,"")</f>
        <v>0</v>
      </c>
      <c r="BT42">
        <f>IF(AND(ISNUMBER(D42),ISNUMBER(H42),D42&gt;=H42), OR(O42=TRUE,P42=TRUE), FALSE)</f>
        <v>0</v>
      </c>
      <c r="BU42">
        <f>AND(ISNUMBER(R42), R42&gt;=45, R42&lt;=60, W42=TRUE, E42&gt;=-20)</f>
        <v>0</v>
      </c>
      <c r="BV42">
        <f>OR(AI42=TRUE,AA42=TRUE)</f>
        <v>0</v>
      </c>
      <c r="BW42">
        <f>IFERROR( (AR42-D42) / MAX(D42-AQ42,1E-9) ,"")</f>
        <v>0</v>
      </c>
      <c r="BX42">
        <f>IFERROR(BW42&gt;=2, FALSE)</f>
        <v>0</v>
      </c>
      <c r="BY42" s="1">
        <f>IFERROR(ROUNDDOWN(MIN(IF(BA42&gt;0, BA42/D42, 1E99),IF(AZ42&gt;0, AZ42/MAX(D42-AQ42,1E-9), 1E99)),0),"")</f>
        <v>0</v>
      </c>
      <c r="BZ42" s="2">
        <f>IF(AND(ISNUMBER(D42),ISNUMBER(AT42)), D42*(1-AT42), "")</f>
        <v>0</v>
      </c>
      <c r="CA42">
        <f>AND(BT42=TRUE,BU42=TRUE,BV42=TRUE,BX42=TRUE)</f>
        <v>0</v>
      </c>
    </row>
    <row r="43" spans="1:79" x14ac:dyDescent="0.25">
      <c r="A43" t="s">
        <v>108</v>
      </c>
      <c r="B43">
        <f>HYPERLINK("data/charts/VZ.png", "Open")</f>
        <v>0</v>
      </c>
      <c r="C43" t="s">
        <v>279</v>
      </c>
      <c r="D43">
        <v>44.24</v>
      </c>
      <c r="E43">
        <v>-6.59</v>
      </c>
      <c r="F43">
        <v>17.69</v>
      </c>
      <c r="G43">
        <v>4.53</v>
      </c>
      <c r="H43">
        <v>42.32</v>
      </c>
      <c r="I43">
        <v>-0.0125</v>
      </c>
      <c r="J43" t="b">
        <v>0</v>
      </c>
      <c r="K43">
        <v>42.72</v>
      </c>
      <c r="L43">
        <v>42.99</v>
      </c>
      <c r="M43">
        <v>43.01</v>
      </c>
      <c r="N43">
        <v>42.87</v>
      </c>
      <c r="O43" t="b">
        <v>1</v>
      </c>
      <c r="P43" t="b">
        <v>1</v>
      </c>
      <c r="Q43" t="b">
        <v>1</v>
      </c>
      <c r="R43">
        <v>65.48</v>
      </c>
      <c r="S43" t="b">
        <v>0</v>
      </c>
      <c r="T43" t="b">
        <v>0</v>
      </c>
      <c r="U43">
        <v>0.3063</v>
      </c>
      <c r="V43">
        <v>0.1551</v>
      </c>
      <c r="W43" t="b">
        <v>0</v>
      </c>
      <c r="X43" t="b">
        <v>1</v>
      </c>
      <c r="Y43">
        <v>21235500</v>
      </c>
      <c r="Z43">
        <v>18446320</v>
      </c>
      <c r="AA43" t="b">
        <v>0</v>
      </c>
      <c r="AB43">
        <v>42.99</v>
      </c>
      <c r="AC43">
        <v>43.88</v>
      </c>
      <c r="AD43">
        <v>42.09</v>
      </c>
      <c r="AE43">
        <v>1.204</v>
      </c>
      <c r="AF43">
        <v>0.041</v>
      </c>
      <c r="AG43">
        <v>44.44</v>
      </c>
      <c r="AH43">
        <v>41.68</v>
      </c>
      <c r="AI43" t="b">
        <v>1</v>
      </c>
      <c r="AJ43">
        <v>0.624</v>
      </c>
      <c r="AK43">
        <v>43.3</v>
      </c>
      <c r="AL43">
        <v>42.17</v>
      </c>
      <c r="AM43">
        <v>42.09</v>
      </c>
      <c r="AN43">
        <v>39.37</v>
      </c>
      <c r="AO43">
        <v>43.3</v>
      </c>
      <c r="AP43" t="s">
        <v>280</v>
      </c>
      <c r="AQ43">
        <v>39.37</v>
      </c>
      <c r="AR43">
        <v>48.66</v>
      </c>
      <c r="AS43">
        <v>0.05</v>
      </c>
      <c r="AT43">
        <v>0.07000000000000001</v>
      </c>
      <c r="AU43">
        <v>60</v>
      </c>
      <c r="AV43">
        <v>0.9075968784726842</v>
      </c>
      <c r="AW43">
        <v>4</v>
      </c>
      <c r="AX43">
        <v>6.25</v>
      </c>
      <c r="AY43">
        <v>205</v>
      </c>
      <c r="AZ43">
        <v>1000</v>
      </c>
      <c r="BA43">
        <v>15000</v>
      </c>
      <c r="BD43">
        <v>10.29</v>
      </c>
      <c r="BE43">
        <v>9.35</v>
      </c>
      <c r="BF43">
        <v>6.13</v>
      </c>
      <c r="BG43">
        <v>0.63</v>
      </c>
      <c r="BH43">
        <v>1.63</v>
      </c>
      <c r="BI43">
        <v>3.04</v>
      </c>
      <c r="BJ43">
        <v>1.72</v>
      </c>
      <c r="BK43">
        <v>14.5</v>
      </c>
      <c r="BM43">
        <v>1.16</v>
      </c>
      <c r="BN43" t="s">
        <v>302</v>
      </c>
      <c r="BO43" t="b">
        <v>0</v>
      </c>
      <c r="BP43" s="1">
        <f>IFERROR(RANK.EQ(AX43,AX$2:AX$213,0),"")</f>
        <v>0</v>
      </c>
      <c r="BQ43">
        <f>IFERROR(Y43/Z43,"")</f>
        <v>0</v>
      </c>
      <c r="BR43">
        <f>IFERROR(U43-V43,"")</f>
        <v>0</v>
      </c>
      <c r="BS43">
        <f>IFERROR(U43&gt;V43,"")</f>
        <v>0</v>
      </c>
      <c r="BT43">
        <f>IF(AND(ISNUMBER(D43),ISNUMBER(H43),D43&gt;=H43), OR(O43=TRUE,P43=TRUE), FALSE)</f>
        <v>0</v>
      </c>
      <c r="BU43">
        <f>AND(ISNUMBER(R43), R43&gt;=45, R43&lt;=60, W43=TRUE, E43&gt;=-20)</f>
        <v>0</v>
      </c>
      <c r="BV43">
        <f>OR(AI43=TRUE,AA43=TRUE)</f>
        <v>0</v>
      </c>
      <c r="BW43">
        <f>IFERROR( (AR43-D43) / MAX(D43-AQ43,1E-9) ,"")</f>
        <v>0</v>
      </c>
      <c r="BX43">
        <f>IFERROR(BW43&gt;=2, FALSE)</f>
        <v>0</v>
      </c>
      <c r="BY43" s="1">
        <f>IFERROR(ROUNDDOWN(MIN(IF(BA43&gt;0, BA43/D43, 1E99),IF(AZ43&gt;0, AZ43/MAX(D43-AQ43,1E-9), 1E99)),0),"")</f>
        <v>0</v>
      </c>
      <c r="BZ43" s="2">
        <f>IF(AND(ISNUMBER(D43),ISNUMBER(AT43)), D43*(1-AT43), "")</f>
        <v>0</v>
      </c>
      <c r="CA43">
        <f>AND(BT43=TRUE,BU43=TRUE,BV43=TRUE,BX43=TRUE)</f>
        <v>0</v>
      </c>
    </row>
    <row r="44" spans="1:79" x14ac:dyDescent="0.25">
      <c r="A44" t="s">
        <v>109</v>
      </c>
      <c r="B44">
        <f>HYPERLINK("data/charts/T.png", "Open")</f>
        <v>0</v>
      </c>
      <c r="C44" t="s">
        <v>279</v>
      </c>
      <c r="D44">
        <v>28.87</v>
      </c>
      <c r="E44">
        <v>-1.1</v>
      </c>
      <c r="F44">
        <v>52.19</v>
      </c>
      <c r="G44">
        <v>11.87</v>
      </c>
      <c r="H44">
        <v>25.81</v>
      </c>
      <c r="I44">
        <v>0.1241</v>
      </c>
      <c r="J44" t="b">
        <v>1</v>
      </c>
      <c r="K44">
        <v>27.91</v>
      </c>
      <c r="L44">
        <v>27.89</v>
      </c>
      <c r="M44">
        <v>28.03</v>
      </c>
      <c r="N44">
        <v>27.82</v>
      </c>
      <c r="O44" t="b">
        <v>1</v>
      </c>
      <c r="P44" t="b">
        <v>1</v>
      </c>
      <c r="Q44" t="b">
        <v>1</v>
      </c>
      <c r="R44">
        <v>66.7</v>
      </c>
      <c r="S44" t="b">
        <v>0</v>
      </c>
      <c r="T44" t="b">
        <v>0</v>
      </c>
      <c r="U44">
        <v>0.2414</v>
      </c>
      <c r="V44">
        <v>0.1017</v>
      </c>
      <c r="W44" t="b">
        <v>0</v>
      </c>
      <c r="X44" t="b">
        <v>0</v>
      </c>
      <c r="Y44">
        <v>37018600</v>
      </c>
      <c r="Z44">
        <v>33878880</v>
      </c>
      <c r="AA44" t="b">
        <v>0</v>
      </c>
      <c r="AB44">
        <v>27.89</v>
      </c>
      <c r="AC44">
        <v>28.77</v>
      </c>
      <c r="AD44">
        <v>27.01</v>
      </c>
      <c r="AE44">
        <v>1.054</v>
      </c>
      <c r="AF44">
        <v>0.063</v>
      </c>
      <c r="AG44">
        <v>29.08</v>
      </c>
      <c r="AH44">
        <v>25.85</v>
      </c>
      <c r="AI44" t="b">
        <v>1</v>
      </c>
      <c r="AJ44">
        <v>0.44</v>
      </c>
      <c r="AK44">
        <v>28.21</v>
      </c>
      <c r="AL44">
        <v>27.29</v>
      </c>
      <c r="AM44">
        <v>27.01</v>
      </c>
      <c r="AN44">
        <v>25.69</v>
      </c>
      <c r="AO44">
        <v>28.21</v>
      </c>
      <c r="AP44" t="s">
        <v>280</v>
      </c>
      <c r="AQ44">
        <v>25.69</v>
      </c>
      <c r="AR44">
        <v>31.76</v>
      </c>
      <c r="AS44">
        <v>0.05</v>
      </c>
      <c r="AT44">
        <v>0.07000000000000001</v>
      </c>
      <c r="AU44">
        <v>60</v>
      </c>
      <c r="AV44">
        <v>0.9088045276941799</v>
      </c>
      <c r="AW44">
        <v>4</v>
      </c>
      <c r="AX44">
        <v>6.25</v>
      </c>
      <c r="AY44">
        <v>314</v>
      </c>
      <c r="AZ44">
        <v>1000</v>
      </c>
      <c r="BA44">
        <v>15000</v>
      </c>
      <c r="BD44">
        <v>16.5</v>
      </c>
      <c r="BE44">
        <v>12.89</v>
      </c>
      <c r="BF44">
        <v>3.84</v>
      </c>
      <c r="BG44">
        <v>0.63</v>
      </c>
      <c r="BH44">
        <v>1.22</v>
      </c>
      <c r="BI44">
        <v>0.72</v>
      </c>
      <c r="BJ44">
        <v>1.64</v>
      </c>
      <c r="BK44">
        <v>14.59</v>
      </c>
      <c r="BM44">
        <v>0.66</v>
      </c>
      <c r="BN44" t="s">
        <v>302</v>
      </c>
      <c r="BO44" t="b">
        <v>0</v>
      </c>
      <c r="BP44" s="1">
        <f>IFERROR(RANK.EQ(AX44,AX$2:AX$213,0),"")</f>
        <v>0</v>
      </c>
      <c r="BQ44">
        <f>IFERROR(Y44/Z44,"")</f>
        <v>0</v>
      </c>
      <c r="BR44">
        <f>IFERROR(U44-V44,"")</f>
        <v>0</v>
      </c>
      <c r="BS44">
        <f>IFERROR(U44&gt;V44,"")</f>
        <v>0</v>
      </c>
      <c r="BT44">
        <f>IF(AND(ISNUMBER(D44),ISNUMBER(H44),D44&gt;=H44), OR(O44=TRUE,P44=TRUE), FALSE)</f>
        <v>0</v>
      </c>
      <c r="BU44">
        <f>AND(ISNUMBER(R44), R44&gt;=45, R44&lt;=60, W44=TRUE, E44&gt;=-20)</f>
        <v>0</v>
      </c>
      <c r="BV44">
        <f>OR(AI44=TRUE,AA44=TRUE)</f>
        <v>0</v>
      </c>
      <c r="BW44">
        <f>IFERROR( (AR44-D44) / MAX(D44-AQ44,1E-9) ,"")</f>
        <v>0</v>
      </c>
      <c r="BX44">
        <f>IFERROR(BW44&gt;=2, FALSE)</f>
        <v>0</v>
      </c>
      <c r="BY44" s="1">
        <f>IFERROR(ROUNDDOWN(MIN(IF(BA44&gt;0, BA44/D44, 1E99),IF(AZ44&gt;0, AZ44/MAX(D44-AQ44,1E-9), 1E99)),0),"")</f>
        <v>0</v>
      </c>
      <c r="BZ44" s="2">
        <f>IF(AND(ISNUMBER(D44),ISNUMBER(AT44)), D44*(1-AT44), "")</f>
        <v>0</v>
      </c>
      <c r="CA44">
        <f>AND(BT44=TRUE,BU44=TRUE,BV44=TRUE,BX44=TRUE)</f>
        <v>0</v>
      </c>
    </row>
    <row r="45" spans="1:79" x14ac:dyDescent="0.25">
      <c r="A45" t="s">
        <v>110</v>
      </c>
      <c r="B45">
        <f>HYPERLINK("data/charts/HCA.png", "Open")</f>
        <v>0</v>
      </c>
      <c r="C45" t="s">
        <v>279</v>
      </c>
      <c r="D45">
        <v>395.79</v>
      </c>
      <c r="E45">
        <v>-5.12</v>
      </c>
      <c r="F45">
        <v>36.49</v>
      </c>
      <c r="G45">
        <v>15.34</v>
      </c>
      <c r="H45">
        <v>343.15</v>
      </c>
      <c r="I45">
        <v>-0.0407</v>
      </c>
      <c r="J45" t="b">
        <v>0</v>
      </c>
      <c r="K45">
        <v>371.01</v>
      </c>
      <c r="L45">
        <v>364.84</v>
      </c>
      <c r="M45">
        <v>373.83</v>
      </c>
      <c r="N45">
        <v>369.07</v>
      </c>
      <c r="O45" t="b">
        <v>1</v>
      </c>
      <c r="P45" t="b">
        <v>1</v>
      </c>
      <c r="Q45" t="b">
        <v>1</v>
      </c>
      <c r="R45">
        <v>71.29000000000001</v>
      </c>
      <c r="S45" t="b">
        <v>0</v>
      </c>
      <c r="T45" t="b">
        <v>0</v>
      </c>
      <c r="U45">
        <v>7.0385</v>
      </c>
      <c r="V45">
        <v>2.2307</v>
      </c>
      <c r="W45" t="b">
        <v>0</v>
      </c>
      <c r="X45" t="b">
        <v>0</v>
      </c>
      <c r="Y45">
        <v>1251400</v>
      </c>
      <c r="Z45">
        <v>1552175</v>
      </c>
      <c r="AA45" t="b">
        <v>0</v>
      </c>
      <c r="AB45">
        <v>364.84</v>
      </c>
      <c r="AC45">
        <v>401.89</v>
      </c>
      <c r="AD45">
        <v>327.8</v>
      </c>
      <c r="AE45">
        <v>0.918</v>
      </c>
      <c r="AF45">
        <v>0.203</v>
      </c>
      <c r="AG45">
        <v>395.99</v>
      </c>
      <c r="AH45">
        <v>330</v>
      </c>
      <c r="AI45" t="b">
        <v>1</v>
      </c>
      <c r="AJ45">
        <v>7.485</v>
      </c>
      <c r="AK45">
        <v>384.56</v>
      </c>
      <c r="AL45">
        <v>330</v>
      </c>
      <c r="AM45">
        <v>327.8</v>
      </c>
      <c r="AN45">
        <v>352.25</v>
      </c>
      <c r="AO45">
        <v>384.56</v>
      </c>
      <c r="AP45" t="s">
        <v>280</v>
      </c>
      <c r="AQ45">
        <v>352.25</v>
      </c>
      <c r="AR45">
        <v>435.37</v>
      </c>
      <c r="AS45">
        <v>0.05</v>
      </c>
      <c r="AT45">
        <v>0.07000000000000001</v>
      </c>
      <c r="AU45">
        <v>60</v>
      </c>
      <c r="AV45">
        <v>0.9090487755472523</v>
      </c>
      <c r="AW45">
        <v>4</v>
      </c>
      <c r="AX45">
        <v>6.25</v>
      </c>
      <c r="AY45">
        <v>22</v>
      </c>
      <c r="AZ45">
        <v>1000</v>
      </c>
      <c r="BA45">
        <v>15000</v>
      </c>
      <c r="BD45">
        <v>16.61</v>
      </c>
      <c r="BE45">
        <v>16.12</v>
      </c>
      <c r="BF45">
        <v>73</v>
      </c>
      <c r="BG45">
        <v>0.12</v>
      </c>
      <c r="BH45">
        <v>-37.45</v>
      </c>
      <c r="BI45">
        <v>1.55</v>
      </c>
      <c r="BJ45">
        <v>5.63</v>
      </c>
      <c r="BK45">
        <v>8.880000000000001</v>
      </c>
      <c r="BM45">
        <v>1.27</v>
      </c>
      <c r="BN45" t="s">
        <v>306</v>
      </c>
      <c r="BO45" t="b">
        <v>0</v>
      </c>
      <c r="BP45" s="1">
        <f>IFERROR(RANK.EQ(AX45,AX$2:AX$213,0),"")</f>
        <v>0</v>
      </c>
      <c r="BQ45">
        <f>IFERROR(Y45/Z45,"")</f>
        <v>0</v>
      </c>
      <c r="BR45">
        <f>IFERROR(U45-V45,"")</f>
        <v>0</v>
      </c>
      <c r="BS45">
        <f>IFERROR(U45&gt;V45,"")</f>
        <v>0</v>
      </c>
      <c r="BT45">
        <f>IF(AND(ISNUMBER(D45),ISNUMBER(H45),D45&gt;=H45), OR(O45=TRUE,P45=TRUE), FALSE)</f>
        <v>0</v>
      </c>
      <c r="BU45">
        <f>AND(ISNUMBER(R45), R45&gt;=45, R45&lt;=60, W45=TRUE, E45&gt;=-20)</f>
        <v>0</v>
      </c>
      <c r="BV45">
        <f>OR(AI45=TRUE,AA45=TRUE)</f>
        <v>0</v>
      </c>
      <c r="BW45">
        <f>IFERROR( (AR45-D45) / MAX(D45-AQ45,1E-9) ,"")</f>
        <v>0</v>
      </c>
      <c r="BX45">
        <f>IFERROR(BW45&gt;=2, FALSE)</f>
        <v>0</v>
      </c>
      <c r="BY45" s="1">
        <f>IFERROR(ROUNDDOWN(MIN(IF(BA45&gt;0, BA45/D45, 1E99),IF(AZ45&gt;0, AZ45/MAX(D45-AQ45,1E-9), 1E99)),0),"")</f>
        <v>0</v>
      </c>
      <c r="BZ45" s="2">
        <f>IF(AND(ISNUMBER(D45),ISNUMBER(AT45)), D45*(1-AT45), "")</f>
        <v>0</v>
      </c>
      <c r="CA45">
        <f>AND(BT45=TRUE,BU45=TRUE,BV45=TRUE,BX45=TRUE)</f>
        <v>0</v>
      </c>
    </row>
    <row r="46" spans="1:79" x14ac:dyDescent="0.25">
      <c r="A46" t="s">
        <v>111</v>
      </c>
      <c r="B46">
        <f>HYPERLINK("data/charts/NGD_TO.png", "Open")</f>
        <v>0</v>
      </c>
      <c r="C46" t="s">
        <v>279</v>
      </c>
      <c r="D46">
        <v>7.23</v>
      </c>
      <c r="E46">
        <v>-1.63</v>
      </c>
      <c r="F46">
        <v>130.99</v>
      </c>
      <c r="G46">
        <v>45.97</v>
      </c>
      <c r="H46">
        <v>4.95</v>
      </c>
      <c r="I46">
        <v>0.2557</v>
      </c>
      <c r="J46" t="b">
        <v>1</v>
      </c>
      <c r="K46">
        <v>6.47</v>
      </c>
      <c r="L46">
        <v>6.33</v>
      </c>
      <c r="M46">
        <v>6.52</v>
      </c>
      <c r="N46">
        <v>6.31</v>
      </c>
      <c r="O46" t="b">
        <v>1</v>
      </c>
      <c r="P46" t="b">
        <v>1</v>
      </c>
      <c r="Q46" t="b">
        <v>1</v>
      </c>
      <c r="R46">
        <v>72.59</v>
      </c>
      <c r="S46" t="b">
        <v>0</v>
      </c>
      <c r="T46" t="b">
        <v>0</v>
      </c>
      <c r="U46">
        <v>0.2022</v>
      </c>
      <c r="V46">
        <v>0.0735</v>
      </c>
      <c r="W46" t="b">
        <v>0</v>
      </c>
      <c r="X46" t="b">
        <v>0</v>
      </c>
      <c r="Y46">
        <v>1383200</v>
      </c>
      <c r="Z46">
        <v>1657935</v>
      </c>
      <c r="AA46" t="b">
        <v>0</v>
      </c>
      <c r="AB46">
        <v>6.33</v>
      </c>
      <c r="AC46">
        <v>7.24</v>
      </c>
      <c r="AD46">
        <v>5.41</v>
      </c>
      <c r="AE46">
        <v>0.994</v>
      </c>
      <c r="AF46">
        <v>0.289</v>
      </c>
      <c r="AG46">
        <v>7.35</v>
      </c>
      <c r="AH46">
        <v>5.52</v>
      </c>
      <c r="AI46" t="b">
        <v>1</v>
      </c>
      <c r="AJ46">
        <v>0.246</v>
      </c>
      <c r="AK46">
        <v>6.86</v>
      </c>
      <c r="AL46">
        <v>6.5</v>
      </c>
      <c r="AM46">
        <v>5.41</v>
      </c>
      <c r="AN46">
        <v>6.43</v>
      </c>
      <c r="AO46">
        <v>6.86</v>
      </c>
      <c r="AP46" t="s">
        <v>280</v>
      </c>
      <c r="AQ46">
        <v>6.43</v>
      </c>
      <c r="AR46">
        <v>7.95</v>
      </c>
      <c r="AS46">
        <v>0.05</v>
      </c>
      <c r="AT46">
        <v>0.07000000000000001</v>
      </c>
      <c r="AU46">
        <v>60</v>
      </c>
      <c r="AV46">
        <v>0.899999954700471</v>
      </c>
      <c r="AW46">
        <v>4</v>
      </c>
      <c r="AX46">
        <v>6.25</v>
      </c>
      <c r="AY46">
        <v>1249</v>
      </c>
      <c r="AZ46">
        <v>1000</v>
      </c>
      <c r="BA46">
        <v>15000</v>
      </c>
      <c r="BD46">
        <v>26.78</v>
      </c>
      <c r="BE46">
        <v>15.38</v>
      </c>
      <c r="BG46">
        <v>0</v>
      </c>
      <c r="BH46">
        <v>0.6</v>
      </c>
      <c r="BI46">
        <v>47.49</v>
      </c>
      <c r="BJ46">
        <v>-550</v>
      </c>
      <c r="BK46">
        <v>22.24</v>
      </c>
      <c r="BM46">
        <v>0.92</v>
      </c>
      <c r="BN46" t="s">
        <v>307</v>
      </c>
      <c r="BO46" t="b">
        <v>0</v>
      </c>
      <c r="BP46" s="1">
        <f>IFERROR(RANK.EQ(AX46,AX$2:AX$213,0),"")</f>
        <v>0</v>
      </c>
      <c r="BQ46">
        <f>IFERROR(Y46/Z46,"")</f>
        <v>0</v>
      </c>
      <c r="BR46">
        <f>IFERROR(U46-V46,"")</f>
        <v>0</v>
      </c>
      <c r="BS46">
        <f>IFERROR(U46&gt;V46,"")</f>
        <v>0</v>
      </c>
      <c r="BT46">
        <f>IF(AND(ISNUMBER(D46),ISNUMBER(H46),D46&gt;=H46), OR(O46=TRUE,P46=TRUE), FALSE)</f>
        <v>0</v>
      </c>
      <c r="BU46">
        <f>AND(ISNUMBER(R46), R46&gt;=45, R46&lt;=60, W46=TRUE, E46&gt;=-20)</f>
        <v>0</v>
      </c>
      <c r="BV46">
        <f>OR(AI46=TRUE,AA46=TRUE)</f>
        <v>0</v>
      </c>
      <c r="BW46">
        <f>IFERROR( (AR46-D46) / MAX(D46-AQ46,1E-9) ,"")</f>
        <v>0</v>
      </c>
      <c r="BX46">
        <f>IFERROR(BW46&gt;=2, FALSE)</f>
        <v>0</v>
      </c>
      <c r="BY46" s="1">
        <f>IFERROR(ROUNDDOWN(MIN(IF(BA46&gt;0, BA46/D46, 1E99),IF(AZ46&gt;0, AZ46/MAX(D46-AQ46,1E-9), 1E99)),0),"")</f>
        <v>0</v>
      </c>
      <c r="BZ46" s="2">
        <f>IF(AND(ISNUMBER(D46),ISNUMBER(AT46)), D46*(1-AT46), "")</f>
        <v>0</v>
      </c>
      <c r="CA46">
        <f>AND(BT46=TRUE,BU46=TRUE,BV46=TRUE,BX46=TRUE)</f>
        <v>0</v>
      </c>
    </row>
    <row r="47" spans="1:79" x14ac:dyDescent="0.25">
      <c r="A47" t="s">
        <v>112</v>
      </c>
      <c r="B47">
        <f>HYPERLINK("data/charts/JNJ.png", "Open")</f>
        <v>0</v>
      </c>
      <c r="C47" t="s">
        <v>279</v>
      </c>
      <c r="D47">
        <v>176.64</v>
      </c>
      <c r="E47">
        <v>-0.36</v>
      </c>
      <c r="F47">
        <v>25.56</v>
      </c>
      <c r="G47">
        <v>13.2</v>
      </c>
      <c r="H47">
        <v>156.05</v>
      </c>
      <c r="I47">
        <v>-0.0092</v>
      </c>
      <c r="J47" t="b">
        <v>0</v>
      </c>
      <c r="K47">
        <v>161.32</v>
      </c>
      <c r="L47">
        <v>170.13</v>
      </c>
      <c r="M47">
        <v>169.55</v>
      </c>
      <c r="N47">
        <v>164.03</v>
      </c>
      <c r="O47" t="b">
        <v>1</v>
      </c>
      <c r="P47" t="b">
        <v>1</v>
      </c>
      <c r="Q47" t="b">
        <v>1</v>
      </c>
      <c r="R47">
        <v>73.37</v>
      </c>
      <c r="S47" t="b">
        <v>0</v>
      </c>
      <c r="T47" t="b">
        <v>0</v>
      </c>
      <c r="U47">
        <v>3.9957</v>
      </c>
      <c r="V47">
        <v>3.7425</v>
      </c>
      <c r="W47" t="b">
        <v>0</v>
      </c>
      <c r="X47" t="b">
        <v>1</v>
      </c>
      <c r="Y47">
        <v>9476500</v>
      </c>
      <c r="Z47">
        <v>8411320</v>
      </c>
      <c r="AA47" t="b">
        <v>0</v>
      </c>
      <c r="AB47">
        <v>170.13</v>
      </c>
      <c r="AC47">
        <v>176.81</v>
      </c>
      <c r="AD47">
        <v>163.44</v>
      </c>
      <c r="AE47">
        <v>0.987</v>
      </c>
      <c r="AF47">
        <v>0.079</v>
      </c>
      <c r="AG47">
        <v>177.27</v>
      </c>
      <c r="AH47">
        <v>162.78</v>
      </c>
      <c r="AI47" t="b">
        <v>1</v>
      </c>
      <c r="AJ47">
        <v>2.556</v>
      </c>
      <c r="AK47">
        <v>172.81</v>
      </c>
      <c r="AL47">
        <v>164.23</v>
      </c>
      <c r="AM47">
        <v>163.44</v>
      </c>
      <c r="AN47">
        <v>157.21</v>
      </c>
      <c r="AO47">
        <v>172.81</v>
      </c>
      <c r="AP47" t="s">
        <v>280</v>
      </c>
      <c r="AQ47">
        <v>157.21</v>
      </c>
      <c r="AR47">
        <v>194.3</v>
      </c>
      <c r="AS47">
        <v>0.05</v>
      </c>
      <c r="AT47">
        <v>0.07000000000000001</v>
      </c>
      <c r="AU47">
        <v>60</v>
      </c>
      <c r="AV47">
        <v>0.9089038170407847</v>
      </c>
      <c r="AW47">
        <v>4</v>
      </c>
      <c r="AX47">
        <v>6.25</v>
      </c>
      <c r="AY47">
        <v>51</v>
      </c>
      <c r="AZ47">
        <v>1000</v>
      </c>
      <c r="BA47">
        <v>15000</v>
      </c>
      <c r="BD47">
        <v>18.91</v>
      </c>
      <c r="BE47">
        <v>16.66</v>
      </c>
      <c r="BF47">
        <v>2.94</v>
      </c>
      <c r="BG47">
        <v>0.54</v>
      </c>
      <c r="BH47">
        <v>0.65</v>
      </c>
      <c r="BI47">
        <v>8.449999999999999</v>
      </c>
      <c r="BJ47">
        <v>-49.68</v>
      </c>
      <c r="BK47">
        <v>23.32</v>
      </c>
      <c r="BM47">
        <v>1.04</v>
      </c>
      <c r="BN47" t="s">
        <v>307</v>
      </c>
      <c r="BO47" t="b">
        <v>0</v>
      </c>
      <c r="BP47" s="1">
        <f>IFERROR(RANK.EQ(AX47,AX$2:AX$213,0),"")</f>
        <v>0</v>
      </c>
      <c r="BQ47">
        <f>IFERROR(Y47/Z47,"")</f>
        <v>0</v>
      </c>
      <c r="BR47">
        <f>IFERROR(U47-V47,"")</f>
        <v>0</v>
      </c>
      <c r="BS47">
        <f>IFERROR(U47&gt;V47,"")</f>
        <v>0</v>
      </c>
      <c r="BT47">
        <f>IF(AND(ISNUMBER(D47),ISNUMBER(H47),D47&gt;=H47), OR(O47=TRUE,P47=TRUE), FALSE)</f>
        <v>0</v>
      </c>
      <c r="BU47">
        <f>AND(ISNUMBER(R47), R47&gt;=45, R47&lt;=60, W47=TRUE, E47&gt;=-20)</f>
        <v>0</v>
      </c>
      <c r="BV47">
        <f>OR(AI47=TRUE,AA47=TRUE)</f>
        <v>0</v>
      </c>
      <c r="BW47">
        <f>IFERROR( (AR47-D47) / MAX(D47-AQ47,1E-9) ,"")</f>
        <v>0</v>
      </c>
      <c r="BX47">
        <f>IFERROR(BW47&gt;=2, FALSE)</f>
        <v>0</v>
      </c>
      <c r="BY47" s="1">
        <f>IFERROR(ROUNDDOWN(MIN(IF(BA47&gt;0, BA47/D47, 1E99),IF(AZ47&gt;0, AZ47/MAX(D47-AQ47,1E-9), 1E99)),0),"")</f>
        <v>0</v>
      </c>
      <c r="BZ47" s="2">
        <f>IF(AND(ISNUMBER(D47),ISNUMBER(AT47)), D47*(1-AT47), "")</f>
        <v>0</v>
      </c>
      <c r="CA47">
        <f>AND(BT47=TRUE,BU47=TRUE,BV47=TRUE,BX47=TRUE)</f>
        <v>0</v>
      </c>
    </row>
    <row r="48" spans="1:79" x14ac:dyDescent="0.25">
      <c r="A48" t="s">
        <v>113</v>
      </c>
      <c r="B48">
        <f>HYPERLINK("data/charts/FTS_TO.png", "Open")</f>
        <v>0</v>
      </c>
      <c r="C48" t="s">
        <v>279</v>
      </c>
      <c r="D48">
        <v>70.15000000000001</v>
      </c>
      <c r="E48">
        <v>-1.14</v>
      </c>
      <c r="F48">
        <v>20.99</v>
      </c>
      <c r="G48">
        <v>9.68</v>
      </c>
      <c r="H48">
        <v>63.96</v>
      </c>
      <c r="I48">
        <v>0.0379</v>
      </c>
      <c r="J48" t="b">
        <v>1</v>
      </c>
      <c r="K48">
        <v>66.06</v>
      </c>
      <c r="L48">
        <v>68.18000000000001</v>
      </c>
      <c r="M48">
        <v>68.3</v>
      </c>
      <c r="N48">
        <v>66.93000000000001</v>
      </c>
      <c r="O48" t="b">
        <v>1</v>
      </c>
      <c r="P48" t="b">
        <v>1</v>
      </c>
      <c r="Q48" t="b">
        <v>1</v>
      </c>
      <c r="R48">
        <v>73.93000000000001</v>
      </c>
      <c r="S48" t="b">
        <v>0</v>
      </c>
      <c r="T48" t="b">
        <v>0</v>
      </c>
      <c r="U48">
        <v>1.2407</v>
      </c>
      <c r="V48">
        <v>1.1162</v>
      </c>
      <c r="W48" t="b">
        <v>0</v>
      </c>
      <c r="X48" t="b">
        <v>1</v>
      </c>
      <c r="Y48">
        <v>2230200</v>
      </c>
      <c r="Z48">
        <v>1405115</v>
      </c>
      <c r="AA48" t="b">
        <v>1</v>
      </c>
      <c r="AB48">
        <v>68.18000000000001</v>
      </c>
      <c r="AC48">
        <v>71.40000000000001</v>
      </c>
      <c r="AD48">
        <v>64.97</v>
      </c>
      <c r="AE48">
        <v>0.806</v>
      </c>
      <c r="AF48">
        <v>0.094</v>
      </c>
      <c r="AG48">
        <v>70.95999999999999</v>
      </c>
      <c r="AH48">
        <v>64.42</v>
      </c>
      <c r="AI48" t="b">
        <v>0</v>
      </c>
      <c r="AJ48">
        <v>0.903</v>
      </c>
      <c r="AK48">
        <v>68.8</v>
      </c>
      <c r="AL48">
        <v>69.29000000000001</v>
      </c>
      <c r="AM48">
        <v>64.97</v>
      </c>
      <c r="AN48">
        <v>62.43</v>
      </c>
      <c r="AO48">
        <v>69.29000000000001</v>
      </c>
      <c r="AP48" t="s">
        <v>282</v>
      </c>
      <c r="AQ48">
        <v>62.43</v>
      </c>
      <c r="AR48">
        <v>77.17</v>
      </c>
      <c r="AS48">
        <v>0.05</v>
      </c>
      <c r="AT48">
        <v>0.07000000000000001</v>
      </c>
      <c r="AU48">
        <v>60</v>
      </c>
      <c r="AV48">
        <v>0.9093260474870026</v>
      </c>
      <c r="AW48">
        <v>4</v>
      </c>
      <c r="AX48">
        <v>6.25</v>
      </c>
      <c r="AY48">
        <v>129</v>
      </c>
      <c r="AZ48">
        <v>1000</v>
      </c>
      <c r="BA48">
        <v>15000</v>
      </c>
      <c r="BD48">
        <v>20.63</v>
      </c>
      <c r="BE48">
        <v>20.69</v>
      </c>
      <c r="BF48">
        <v>3.51</v>
      </c>
      <c r="BG48">
        <v>0.72</v>
      </c>
      <c r="BH48">
        <v>1.32</v>
      </c>
      <c r="BI48">
        <v>-15.67</v>
      </c>
      <c r="BJ48">
        <v>-22.31</v>
      </c>
      <c r="BK48">
        <v>14.35</v>
      </c>
      <c r="BM48">
        <v>1.31</v>
      </c>
      <c r="BN48" t="s">
        <v>305</v>
      </c>
      <c r="BO48" t="b">
        <v>0</v>
      </c>
      <c r="BP48" s="1">
        <f>IFERROR(RANK.EQ(AX48,AX$2:AX$213,0),"")</f>
        <v>0</v>
      </c>
      <c r="BQ48">
        <f>IFERROR(Y48/Z48,"")</f>
        <v>0</v>
      </c>
      <c r="BR48">
        <f>IFERROR(U48-V48,"")</f>
        <v>0</v>
      </c>
      <c r="BS48">
        <f>IFERROR(U48&gt;V48,"")</f>
        <v>0</v>
      </c>
      <c r="BT48">
        <f>IF(AND(ISNUMBER(D48),ISNUMBER(H48),D48&gt;=H48), OR(O48=TRUE,P48=TRUE), FALSE)</f>
        <v>0</v>
      </c>
      <c r="BU48">
        <f>AND(ISNUMBER(R48), R48&gt;=45, R48&lt;=60, W48=TRUE, E48&gt;=-20)</f>
        <v>0</v>
      </c>
      <c r="BV48">
        <f>OR(AI48=TRUE,AA48=TRUE)</f>
        <v>0</v>
      </c>
      <c r="BW48">
        <f>IFERROR( (AR48-D48) / MAX(D48-AQ48,1E-9) ,"")</f>
        <v>0</v>
      </c>
      <c r="BX48">
        <f>IFERROR(BW48&gt;=2, FALSE)</f>
        <v>0</v>
      </c>
      <c r="BY48" s="1">
        <f>IFERROR(ROUNDDOWN(MIN(IF(BA48&gt;0, BA48/D48, 1E99),IF(AZ48&gt;0, AZ48/MAX(D48-AQ48,1E-9), 1E99)),0),"")</f>
        <v>0</v>
      </c>
      <c r="BZ48" s="2">
        <f>IF(AND(ISNUMBER(D48),ISNUMBER(AT48)), D48*(1-AT48), "")</f>
        <v>0</v>
      </c>
      <c r="CA48">
        <f>AND(BT48=TRUE,BU48=TRUE,BV48=TRUE,BX48=TRUE)</f>
        <v>0</v>
      </c>
    </row>
    <row r="49" spans="1:79" x14ac:dyDescent="0.25">
      <c r="A49" t="s">
        <v>114</v>
      </c>
      <c r="B49">
        <f>HYPERLINK("data/charts/DHR.png", "Open")</f>
        <v>0</v>
      </c>
      <c r="C49" t="s">
        <v>279</v>
      </c>
      <c r="D49">
        <v>210.93</v>
      </c>
      <c r="E49">
        <v>-24.64</v>
      </c>
      <c r="F49">
        <v>23.35</v>
      </c>
      <c r="G49">
        <v>-0.47</v>
      </c>
      <c r="H49">
        <v>211.92</v>
      </c>
      <c r="I49">
        <v>-0.1698</v>
      </c>
      <c r="J49" t="b">
        <v>0</v>
      </c>
      <c r="K49">
        <v>199.73</v>
      </c>
      <c r="L49">
        <v>200.93</v>
      </c>
      <c r="M49">
        <v>202.11</v>
      </c>
      <c r="N49">
        <v>199.96</v>
      </c>
      <c r="O49" t="b">
        <v>1</v>
      </c>
      <c r="P49" t="b">
        <v>1</v>
      </c>
      <c r="Q49" t="b">
        <v>1</v>
      </c>
      <c r="R49">
        <v>63.76</v>
      </c>
      <c r="S49" t="b">
        <v>0</v>
      </c>
      <c r="T49" t="b">
        <v>0</v>
      </c>
      <c r="U49">
        <v>2.5723</v>
      </c>
      <c r="V49">
        <v>1.2605</v>
      </c>
      <c r="W49" t="b">
        <v>1</v>
      </c>
      <c r="X49" t="b">
        <v>1</v>
      </c>
      <c r="Y49">
        <v>3210200</v>
      </c>
      <c r="Z49">
        <v>4606675</v>
      </c>
      <c r="AA49" t="b">
        <v>0</v>
      </c>
      <c r="AB49">
        <v>200.93</v>
      </c>
      <c r="AC49">
        <v>213.02</v>
      </c>
      <c r="AD49">
        <v>188.85</v>
      </c>
      <c r="AE49">
        <v>0.913</v>
      </c>
      <c r="AF49">
        <v>0.12</v>
      </c>
      <c r="AG49">
        <v>212.4</v>
      </c>
      <c r="AH49">
        <v>185.5</v>
      </c>
      <c r="AI49" t="b">
        <v>1</v>
      </c>
      <c r="AJ49">
        <v>4.301</v>
      </c>
      <c r="AK49">
        <v>204.48</v>
      </c>
      <c r="AL49">
        <v>192.26</v>
      </c>
      <c r="AM49">
        <v>188.85</v>
      </c>
      <c r="AN49">
        <v>187.73</v>
      </c>
      <c r="AO49">
        <v>204.48</v>
      </c>
      <c r="AP49" t="s">
        <v>280</v>
      </c>
      <c r="AQ49">
        <v>187.73</v>
      </c>
      <c r="AR49">
        <v>232.02</v>
      </c>
      <c r="AS49">
        <v>0.05</v>
      </c>
      <c r="AT49">
        <v>0.07000000000000001</v>
      </c>
      <c r="AU49">
        <v>60</v>
      </c>
      <c r="AV49">
        <v>0.9090523268240021</v>
      </c>
      <c r="AW49">
        <v>5</v>
      </c>
      <c r="AX49">
        <v>6</v>
      </c>
      <c r="AY49">
        <v>43</v>
      </c>
      <c r="AZ49">
        <v>1000</v>
      </c>
      <c r="BA49">
        <v>15000</v>
      </c>
      <c r="BD49">
        <v>44.88</v>
      </c>
      <c r="BE49">
        <v>25.17</v>
      </c>
      <c r="BF49">
        <v>61</v>
      </c>
      <c r="BG49">
        <v>0.25</v>
      </c>
      <c r="BH49">
        <v>0.33</v>
      </c>
      <c r="BI49">
        <v>3.4</v>
      </c>
      <c r="BJ49">
        <v>-42.11</v>
      </c>
      <c r="BK49">
        <v>9.35</v>
      </c>
      <c r="BM49">
        <v>-1.16</v>
      </c>
      <c r="BN49" t="s">
        <v>283</v>
      </c>
      <c r="BO49" t="b">
        <v>0</v>
      </c>
      <c r="BP49" s="1">
        <f>IFERROR(RANK.EQ(AX49,AX$2:AX$213,0),"")</f>
        <v>0</v>
      </c>
      <c r="BQ49">
        <f>IFERROR(Y49/Z49,"")</f>
        <v>0</v>
      </c>
      <c r="BR49">
        <f>IFERROR(U49-V49,"")</f>
        <v>0</v>
      </c>
      <c r="BS49">
        <f>IFERROR(U49&gt;V49,"")</f>
        <v>0</v>
      </c>
      <c r="BT49">
        <f>IF(AND(ISNUMBER(D49),ISNUMBER(H49),D49&gt;=H49), OR(O49=TRUE,P49=TRUE), FALSE)</f>
        <v>0</v>
      </c>
      <c r="BU49">
        <f>AND(ISNUMBER(R49), R49&gt;=45, R49&lt;=60, W49=TRUE, E49&gt;=-20)</f>
        <v>0</v>
      </c>
      <c r="BV49">
        <f>OR(AI49=TRUE,AA49=TRUE)</f>
        <v>0</v>
      </c>
      <c r="BW49">
        <f>IFERROR( (AR49-D49) / MAX(D49-AQ49,1E-9) ,"")</f>
        <v>0</v>
      </c>
      <c r="BX49">
        <f>IFERROR(BW49&gt;=2, FALSE)</f>
        <v>0</v>
      </c>
      <c r="BY49" s="1">
        <f>IFERROR(ROUNDDOWN(MIN(IF(BA49&gt;0, BA49/D49, 1E99),IF(AZ49&gt;0, AZ49/MAX(D49-AQ49,1E-9), 1E99)),0),"")</f>
        <v>0</v>
      </c>
      <c r="BZ49" s="2">
        <f>IF(AND(ISNUMBER(D49),ISNUMBER(AT49)), D49*(1-AT49), "")</f>
        <v>0</v>
      </c>
      <c r="CA49">
        <f>AND(BT49=TRUE,BU49=TRUE,BV49=TRUE,BX49=TRUE)</f>
        <v>0</v>
      </c>
    </row>
    <row r="50" spans="1:79" x14ac:dyDescent="0.25">
      <c r="A50" t="s">
        <v>115</v>
      </c>
      <c r="B50">
        <f>HYPERLINK("data/charts/HAS.png", "Open")</f>
        <v>0</v>
      </c>
      <c r="C50" t="s">
        <v>279</v>
      </c>
      <c r="D50">
        <v>81.14</v>
      </c>
      <c r="E50">
        <v>-0.21</v>
      </c>
      <c r="F50">
        <v>65.59</v>
      </c>
      <c r="G50">
        <v>25.8</v>
      </c>
      <c r="H50">
        <v>64.5</v>
      </c>
      <c r="I50">
        <v>0.037</v>
      </c>
      <c r="J50" t="b">
        <v>1</v>
      </c>
      <c r="K50">
        <v>74.45999999999999</v>
      </c>
      <c r="L50">
        <v>77.2</v>
      </c>
      <c r="M50">
        <v>77.44</v>
      </c>
      <c r="N50">
        <v>74.34</v>
      </c>
      <c r="O50" t="b">
        <v>1</v>
      </c>
      <c r="P50" t="b">
        <v>1</v>
      </c>
      <c r="Q50" t="b">
        <v>1</v>
      </c>
      <c r="R50">
        <v>73.59999999999999</v>
      </c>
      <c r="S50" t="b">
        <v>0</v>
      </c>
      <c r="T50" t="b">
        <v>0</v>
      </c>
      <c r="U50">
        <v>1.5223</v>
      </c>
      <c r="V50">
        <v>1.2238</v>
      </c>
      <c r="W50" t="b">
        <v>1</v>
      </c>
      <c r="X50" t="b">
        <v>1</v>
      </c>
      <c r="Y50">
        <v>1498900</v>
      </c>
      <c r="Z50">
        <v>2580225</v>
      </c>
      <c r="AA50" t="b">
        <v>0</v>
      </c>
      <c r="AB50">
        <v>77.2</v>
      </c>
      <c r="AC50">
        <v>80.72</v>
      </c>
      <c r="AD50">
        <v>73.69</v>
      </c>
      <c r="AE50">
        <v>1.059</v>
      </c>
      <c r="AF50">
        <v>0.091</v>
      </c>
      <c r="AG50">
        <v>81.31</v>
      </c>
      <c r="AH50">
        <v>73.86</v>
      </c>
      <c r="AI50" t="b">
        <v>1</v>
      </c>
      <c r="AJ50">
        <v>1.407</v>
      </c>
      <c r="AK50">
        <v>79.03</v>
      </c>
      <c r="AL50">
        <v>74.05</v>
      </c>
      <c r="AM50">
        <v>73.69</v>
      </c>
      <c r="AN50">
        <v>72.20999999999999</v>
      </c>
      <c r="AO50">
        <v>79.03</v>
      </c>
      <c r="AP50" t="s">
        <v>280</v>
      </c>
      <c r="AQ50">
        <v>72.20999999999999</v>
      </c>
      <c r="AR50">
        <v>89.25</v>
      </c>
      <c r="AS50">
        <v>0.05</v>
      </c>
      <c r="AT50">
        <v>0.07000000000000001</v>
      </c>
      <c r="AU50">
        <v>60</v>
      </c>
      <c r="AV50">
        <v>0.9081748224700424</v>
      </c>
      <c r="AW50">
        <v>5</v>
      </c>
      <c r="AX50">
        <v>6</v>
      </c>
      <c r="AY50">
        <v>111</v>
      </c>
      <c r="AZ50">
        <v>1000</v>
      </c>
      <c r="BA50">
        <v>15000</v>
      </c>
      <c r="BE50">
        <v>18.32</v>
      </c>
      <c r="BF50">
        <v>3.45</v>
      </c>
      <c r="BG50">
        <v>0.92</v>
      </c>
      <c r="BH50">
        <v>12.42</v>
      </c>
      <c r="BI50">
        <v>10.56</v>
      </c>
      <c r="BJ50">
        <v>-959.15</v>
      </c>
      <c r="BK50">
        <v>-87.26000000000001</v>
      </c>
      <c r="BN50" t="s">
        <v>292</v>
      </c>
      <c r="BO50" t="b">
        <v>0</v>
      </c>
      <c r="BP50" s="1">
        <f>IFERROR(RANK.EQ(AX50,AX$2:AX$213,0),"")</f>
        <v>0</v>
      </c>
      <c r="BQ50">
        <f>IFERROR(Y50/Z50,"")</f>
        <v>0</v>
      </c>
      <c r="BR50">
        <f>IFERROR(U50-V50,"")</f>
        <v>0</v>
      </c>
      <c r="BS50">
        <f>IFERROR(U50&gt;V50,"")</f>
        <v>0</v>
      </c>
      <c r="BT50">
        <f>IF(AND(ISNUMBER(D50),ISNUMBER(H50),D50&gt;=H50), OR(O50=TRUE,P50=TRUE), FALSE)</f>
        <v>0</v>
      </c>
      <c r="BU50">
        <f>AND(ISNUMBER(R50), R50&gt;=45, R50&lt;=60, W50=TRUE, E50&gt;=-20)</f>
        <v>0</v>
      </c>
      <c r="BV50">
        <f>OR(AI50=TRUE,AA50=TRUE)</f>
        <v>0</v>
      </c>
      <c r="BW50">
        <f>IFERROR( (AR50-D50) / MAX(D50-AQ50,1E-9) ,"")</f>
        <v>0</v>
      </c>
      <c r="BX50">
        <f>IFERROR(BW50&gt;=2, FALSE)</f>
        <v>0</v>
      </c>
      <c r="BY50" s="1">
        <f>IFERROR(ROUNDDOWN(MIN(IF(BA50&gt;0, BA50/D50, 1E99),IF(AZ50&gt;0, AZ50/MAX(D50-AQ50,1E-9), 1E99)),0),"")</f>
        <v>0</v>
      </c>
      <c r="BZ50" s="2">
        <f>IF(AND(ISNUMBER(D50),ISNUMBER(AT50)), D50*(1-AT50), "")</f>
        <v>0</v>
      </c>
      <c r="CA50">
        <f>AND(BT50=TRUE,BU50=TRUE,BV50=TRUE,BX50=TRUE)</f>
        <v>0</v>
      </c>
    </row>
    <row r="51" spans="1:79" x14ac:dyDescent="0.25">
      <c r="A51" t="s">
        <v>116</v>
      </c>
      <c r="B51">
        <f>HYPERLINK("data/charts/BCE_TO.png", "Open")</f>
        <v>0</v>
      </c>
      <c r="C51" t="s">
        <v>279</v>
      </c>
      <c r="D51">
        <v>35.37</v>
      </c>
      <c r="E51">
        <v>-28.01</v>
      </c>
      <c r="F51">
        <v>23.11</v>
      </c>
      <c r="G51">
        <v>6.18</v>
      </c>
      <c r="H51">
        <v>33.31</v>
      </c>
      <c r="I51">
        <v>-0.2263</v>
      </c>
      <c r="J51" t="b">
        <v>0</v>
      </c>
      <c r="K51">
        <v>31.91</v>
      </c>
      <c r="L51">
        <v>33.2</v>
      </c>
      <c r="M51">
        <v>33.28</v>
      </c>
      <c r="N51">
        <v>32.38</v>
      </c>
      <c r="O51" t="b">
        <v>1</v>
      </c>
      <c r="P51" t="b">
        <v>1</v>
      </c>
      <c r="Q51" t="b">
        <v>1</v>
      </c>
      <c r="R51">
        <v>75.31999999999999</v>
      </c>
      <c r="S51" t="b">
        <v>0</v>
      </c>
      <c r="T51" t="b">
        <v>0</v>
      </c>
      <c r="U51">
        <v>0.7198</v>
      </c>
      <c r="V51">
        <v>0.5141</v>
      </c>
      <c r="W51" t="b">
        <v>1</v>
      </c>
      <c r="X51" t="b">
        <v>0</v>
      </c>
      <c r="Y51">
        <v>3284300</v>
      </c>
      <c r="Z51">
        <v>3201880</v>
      </c>
      <c r="AA51" t="b">
        <v>0</v>
      </c>
      <c r="AB51">
        <v>33.2</v>
      </c>
      <c r="AC51">
        <v>34.97</v>
      </c>
      <c r="AD51">
        <v>31.44</v>
      </c>
      <c r="AE51">
        <v>1.114</v>
      </c>
      <c r="AF51">
        <v>0.106</v>
      </c>
      <c r="AG51">
        <v>35.45</v>
      </c>
      <c r="AH51">
        <v>31.35</v>
      </c>
      <c r="AI51" t="b">
        <v>1</v>
      </c>
      <c r="AJ51">
        <v>0.6889999999999999</v>
      </c>
      <c r="AK51">
        <v>34.34</v>
      </c>
      <c r="AL51">
        <v>31.35</v>
      </c>
      <c r="AM51">
        <v>31.44</v>
      </c>
      <c r="AN51">
        <v>31.48</v>
      </c>
      <c r="AO51">
        <v>34.34</v>
      </c>
      <c r="AP51" t="s">
        <v>280</v>
      </c>
      <c r="AQ51">
        <v>31.48</v>
      </c>
      <c r="AR51">
        <v>38.91</v>
      </c>
      <c r="AS51">
        <v>0.05</v>
      </c>
      <c r="AT51">
        <v>0.07000000000000001</v>
      </c>
      <c r="AU51">
        <v>60</v>
      </c>
      <c r="AV51">
        <v>0.9100262313954017</v>
      </c>
      <c r="AW51">
        <v>5</v>
      </c>
      <c r="AX51">
        <v>6</v>
      </c>
      <c r="AY51">
        <v>257</v>
      </c>
      <c r="AZ51">
        <v>1000</v>
      </c>
      <c r="BA51">
        <v>15000</v>
      </c>
      <c r="BD51">
        <v>76.89</v>
      </c>
      <c r="BE51">
        <v>12.15</v>
      </c>
      <c r="BF51">
        <v>4.95</v>
      </c>
      <c r="BG51">
        <v>7.46</v>
      </c>
      <c r="BH51">
        <v>2.04</v>
      </c>
      <c r="BI51">
        <v>2.61</v>
      </c>
      <c r="BJ51">
        <v>-7.35</v>
      </c>
      <c r="BK51">
        <v>10.17</v>
      </c>
      <c r="BM51">
        <v>12.4</v>
      </c>
      <c r="BN51" t="s">
        <v>308</v>
      </c>
      <c r="BO51" t="b">
        <v>0</v>
      </c>
      <c r="BP51" s="1">
        <f>IFERROR(RANK.EQ(AX51,AX$2:AX$213,0),"")</f>
        <v>0</v>
      </c>
      <c r="BQ51">
        <f>IFERROR(Y51/Z51,"")</f>
        <v>0</v>
      </c>
      <c r="BR51">
        <f>IFERROR(U51-V51,"")</f>
        <v>0</v>
      </c>
      <c r="BS51">
        <f>IFERROR(U51&gt;V51,"")</f>
        <v>0</v>
      </c>
      <c r="BT51">
        <f>IF(AND(ISNUMBER(D51),ISNUMBER(H51),D51&gt;=H51), OR(O51=TRUE,P51=TRUE), FALSE)</f>
        <v>0</v>
      </c>
      <c r="BU51">
        <f>AND(ISNUMBER(R51), R51&gt;=45, R51&lt;=60, W51=TRUE, E51&gt;=-20)</f>
        <v>0</v>
      </c>
      <c r="BV51">
        <f>OR(AI51=TRUE,AA51=TRUE)</f>
        <v>0</v>
      </c>
      <c r="BW51">
        <f>IFERROR( (AR51-D51) / MAX(D51-AQ51,1E-9) ,"")</f>
        <v>0</v>
      </c>
      <c r="BX51">
        <f>IFERROR(BW51&gt;=2, FALSE)</f>
        <v>0</v>
      </c>
      <c r="BY51" s="1">
        <f>IFERROR(ROUNDDOWN(MIN(IF(BA51&gt;0, BA51/D51, 1E99),IF(AZ51&gt;0, AZ51/MAX(D51-AQ51,1E-9), 1E99)),0),"")</f>
        <v>0</v>
      </c>
      <c r="BZ51" s="2">
        <f>IF(AND(ISNUMBER(D51),ISNUMBER(AT51)), D51*(1-AT51), "")</f>
        <v>0</v>
      </c>
      <c r="CA51">
        <f>AND(BT51=TRUE,BU51=TRUE,BV51=TRUE,BX51=TRUE)</f>
        <v>0</v>
      </c>
    </row>
    <row r="52" spans="1:79" x14ac:dyDescent="0.25">
      <c r="A52" t="s">
        <v>117</v>
      </c>
      <c r="B52">
        <f>HYPERLINK("data/charts/EQX_TO.png", "Open")</f>
        <v>0</v>
      </c>
      <c r="C52" t="s">
        <v>279</v>
      </c>
      <c r="D52">
        <v>11.02</v>
      </c>
      <c r="E52">
        <v>-2.22</v>
      </c>
      <c r="F52">
        <v>59.48</v>
      </c>
      <c r="G52">
        <v>26.09</v>
      </c>
      <c r="H52">
        <v>8.74</v>
      </c>
      <c r="I52">
        <v>0.0268</v>
      </c>
      <c r="J52" t="b">
        <v>1</v>
      </c>
      <c r="K52">
        <v>8.710000000000001</v>
      </c>
      <c r="L52">
        <v>9.02</v>
      </c>
      <c r="M52">
        <v>9.18</v>
      </c>
      <c r="N52">
        <v>8.91</v>
      </c>
      <c r="O52" t="b">
        <v>1</v>
      </c>
      <c r="P52" t="b">
        <v>1</v>
      </c>
      <c r="Q52" t="b">
        <v>1</v>
      </c>
      <c r="R52">
        <v>82.58</v>
      </c>
      <c r="S52" t="b">
        <v>0</v>
      </c>
      <c r="T52" t="b">
        <v>0</v>
      </c>
      <c r="U52">
        <v>0.4337</v>
      </c>
      <c r="V52">
        <v>0.201</v>
      </c>
      <c r="W52" t="b">
        <v>0</v>
      </c>
      <c r="X52" t="b">
        <v>1</v>
      </c>
      <c r="Y52">
        <v>4230600</v>
      </c>
      <c r="Z52">
        <v>2065995</v>
      </c>
      <c r="AA52" t="b">
        <v>1</v>
      </c>
      <c r="AB52">
        <v>9.02</v>
      </c>
      <c r="AC52">
        <v>10.39</v>
      </c>
      <c r="AD52">
        <v>7.65</v>
      </c>
      <c r="AE52">
        <v>1.23</v>
      </c>
      <c r="AF52">
        <v>0.304</v>
      </c>
      <c r="AG52">
        <v>11.27</v>
      </c>
      <c r="AH52">
        <v>8.300000000000001</v>
      </c>
      <c r="AI52" t="b">
        <v>1</v>
      </c>
      <c r="AJ52">
        <v>0.378</v>
      </c>
      <c r="AK52">
        <v>10.45</v>
      </c>
      <c r="AL52">
        <v>8.67</v>
      </c>
      <c r="AM52">
        <v>7.65</v>
      </c>
      <c r="AN52">
        <v>9.81</v>
      </c>
      <c r="AO52">
        <v>10.45</v>
      </c>
      <c r="AP52" t="s">
        <v>280</v>
      </c>
      <c r="AQ52">
        <v>9.81</v>
      </c>
      <c r="AR52">
        <v>12.12</v>
      </c>
      <c r="AS52">
        <v>0.05</v>
      </c>
      <c r="AT52">
        <v>0.07000000000000001</v>
      </c>
      <c r="AU52">
        <v>60</v>
      </c>
      <c r="AV52">
        <v>0.9090901868494758</v>
      </c>
      <c r="AW52">
        <v>5</v>
      </c>
      <c r="AX52">
        <v>6</v>
      </c>
      <c r="AY52">
        <v>826</v>
      </c>
      <c r="AZ52">
        <v>1000</v>
      </c>
      <c r="BA52">
        <v>15000</v>
      </c>
      <c r="BE52">
        <v>7.25</v>
      </c>
      <c r="BG52">
        <v>0</v>
      </c>
      <c r="BH52">
        <v>0.34</v>
      </c>
      <c r="BI52">
        <v>12.96</v>
      </c>
      <c r="BJ52">
        <v>-129.41</v>
      </c>
      <c r="BK52">
        <v>4.98</v>
      </c>
      <c r="BN52" t="s">
        <v>309</v>
      </c>
      <c r="BO52" t="b">
        <v>0</v>
      </c>
      <c r="BP52" s="1">
        <f>IFERROR(RANK.EQ(AX52,AX$2:AX$213,0),"")</f>
        <v>0</v>
      </c>
      <c r="BQ52">
        <f>IFERROR(Y52/Z52,"")</f>
        <v>0</v>
      </c>
      <c r="BR52">
        <f>IFERROR(U52-V52,"")</f>
        <v>0</v>
      </c>
      <c r="BS52">
        <f>IFERROR(U52&gt;V52,"")</f>
        <v>0</v>
      </c>
      <c r="BT52">
        <f>IF(AND(ISNUMBER(D52),ISNUMBER(H52),D52&gt;=H52), OR(O52=TRUE,P52=TRUE), FALSE)</f>
        <v>0</v>
      </c>
      <c r="BU52">
        <f>AND(ISNUMBER(R52), R52&gt;=45, R52&lt;=60, W52=TRUE, E52&gt;=-20)</f>
        <v>0</v>
      </c>
      <c r="BV52">
        <f>OR(AI52=TRUE,AA52=TRUE)</f>
        <v>0</v>
      </c>
      <c r="BW52">
        <f>IFERROR( (AR52-D52) / MAX(D52-AQ52,1E-9) ,"")</f>
        <v>0</v>
      </c>
      <c r="BX52">
        <f>IFERROR(BW52&gt;=2, FALSE)</f>
        <v>0</v>
      </c>
      <c r="BY52" s="1">
        <f>IFERROR(ROUNDDOWN(MIN(IF(BA52&gt;0, BA52/D52, 1E99),IF(AZ52&gt;0, AZ52/MAX(D52-AQ52,1E-9), 1E99)),0),"")</f>
        <v>0</v>
      </c>
      <c r="BZ52" s="2">
        <f>IF(AND(ISNUMBER(D52),ISNUMBER(AT52)), D52*(1-AT52), "")</f>
        <v>0</v>
      </c>
      <c r="CA52">
        <f>AND(BT52=TRUE,BU52=TRUE,BV52=TRUE,BX52=TRUE)</f>
        <v>0</v>
      </c>
    </row>
    <row r="53" spans="1:79" x14ac:dyDescent="0.25">
      <c r="A53" t="s">
        <v>118</v>
      </c>
      <c r="B53">
        <f>HYPERLINK("data/charts/FRT.png", "Open")</f>
        <v>0</v>
      </c>
      <c r="C53" t="s">
        <v>279</v>
      </c>
      <c r="D53">
        <v>93.84999999999999</v>
      </c>
      <c r="E53">
        <v>-20.69</v>
      </c>
      <c r="F53">
        <v>16.37</v>
      </c>
      <c r="G53">
        <v>-7.49</v>
      </c>
      <c r="H53">
        <v>101.45</v>
      </c>
      <c r="I53">
        <v>-0.09710000000000001</v>
      </c>
      <c r="J53" t="b">
        <v>0</v>
      </c>
      <c r="K53">
        <v>94.47</v>
      </c>
      <c r="L53">
        <v>93.38</v>
      </c>
      <c r="M53">
        <v>93.39</v>
      </c>
      <c r="N53">
        <v>94.17</v>
      </c>
      <c r="O53" t="b">
        <v>1</v>
      </c>
      <c r="P53" t="b">
        <v>0</v>
      </c>
      <c r="Q53" t="b">
        <v>1</v>
      </c>
      <c r="R53">
        <v>51.19</v>
      </c>
      <c r="S53" t="b">
        <v>0</v>
      </c>
      <c r="T53" t="b">
        <v>0</v>
      </c>
      <c r="U53">
        <v>-0.3453</v>
      </c>
      <c r="V53">
        <v>-0.5463</v>
      </c>
      <c r="W53" t="b">
        <v>1</v>
      </c>
      <c r="X53" t="b">
        <v>0</v>
      </c>
      <c r="Y53">
        <v>1840900</v>
      </c>
      <c r="Z53">
        <v>951605</v>
      </c>
      <c r="AA53" t="b">
        <v>1</v>
      </c>
      <c r="AB53">
        <v>93.38</v>
      </c>
      <c r="AC53">
        <v>96.26000000000001</v>
      </c>
      <c r="AD53">
        <v>90.48999999999999</v>
      </c>
      <c r="AE53">
        <v>0.582</v>
      </c>
      <c r="AF53">
        <v>0.062</v>
      </c>
      <c r="AG53">
        <v>96.15000000000001</v>
      </c>
      <c r="AH53">
        <v>89.98999999999999</v>
      </c>
      <c r="AI53" t="b">
        <v>0</v>
      </c>
      <c r="AJ53">
        <v>1.871</v>
      </c>
      <c r="AK53">
        <v>91.04000000000001</v>
      </c>
      <c r="AL53">
        <v>90.91</v>
      </c>
      <c r="AM53">
        <v>90.48999999999999</v>
      </c>
      <c r="AN53">
        <v>83.53</v>
      </c>
      <c r="AO53">
        <v>91.04000000000001</v>
      </c>
      <c r="AP53" t="s">
        <v>280</v>
      </c>
      <c r="AQ53">
        <v>83.53</v>
      </c>
      <c r="AR53">
        <v>103.23</v>
      </c>
      <c r="AS53">
        <v>0.05</v>
      </c>
      <c r="AT53">
        <v>0.07000000000000001</v>
      </c>
      <c r="AU53">
        <v>60</v>
      </c>
      <c r="AV53">
        <v>0.9089150109276312</v>
      </c>
      <c r="AW53">
        <v>4</v>
      </c>
      <c r="AX53">
        <v>6</v>
      </c>
      <c r="AY53">
        <v>96</v>
      </c>
      <c r="AZ53">
        <v>1000</v>
      </c>
      <c r="BA53">
        <v>15000</v>
      </c>
      <c r="BD53">
        <v>23.76</v>
      </c>
      <c r="BE53">
        <v>30.57</v>
      </c>
      <c r="BF53">
        <v>4.82</v>
      </c>
      <c r="BG53">
        <v>1.11</v>
      </c>
      <c r="BH53">
        <v>1.31</v>
      </c>
      <c r="BI53">
        <v>0.77</v>
      </c>
      <c r="BJ53">
        <v>147.22</v>
      </c>
      <c r="BK53">
        <v>50.05</v>
      </c>
      <c r="BM53">
        <v>0.61</v>
      </c>
      <c r="BN53" t="s">
        <v>300</v>
      </c>
      <c r="BO53" t="b">
        <v>0</v>
      </c>
      <c r="BP53" s="1">
        <f>IFERROR(RANK.EQ(AX53,AX$2:AX$213,0),"")</f>
        <v>0</v>
      </c>
      <c r="BQ53">
        <f>IFERROR(Y53/Z53,"")</f>
        <v>0</v>
      </c>
      <c r="BR53">
        <f>IFERROR(U53-V53,"")</f>
        <v>0</v>
      </c>
      <c r="BS53">
        <f>IFERROR(U53&gt;V53,"")</f>
        <v>0</v>
      </c>
      <c r="BT53">
        <f>IF(AND(ISNUMBER(D53),ISNUMBER(H53),D53&gt;=H53), OR(O53=TRUE,P53=TRUE), FALSE)</f>
        <v>0</v>
      </c>
      <c r="BU53">
        <f>AND(ISNUMBER(R53), R53&gt;=45, R53&lt;=60, W53=TRUE, E53&gt;=-20)</f>
        <v>0</v>
      </c>
      <c r="BV53">
        <f>OR(AI53=TRUE,AA53=TRUE)</f>
        <v>0</v>
      </c>
      <c r="BW53">
        <f>IFERROR( (AR53-D53) / MAX(D53-AQ53,1E-9) ,"")</f>
        <v>0</v>
      </c>
      <c r="BX53">
        <f>IFERROR(BW53&gt;=2, FALSE)</f>
        <v>0</v>
      </c>
      <c r="BY53" s="1">
        <f>IFERROR(ROUNDDOWN(MIN(IF(BA53&gt;0, BA53/D53, 1E99),IF(AZ53&gt;0, AZ53/MAX(D53-AQ53,1E-9), 1E99)),0),"")</f>
        <v>0</v>
      </c>
      <c r="BZ53" s="2">
        <f>IF(AND(ISNUMBER(D53),ISNUMBER(AT53)), D53*(1-AT53), "")</f>
        <v>0</v>
      </c>
      <c r="CA53">
        <f>AND(BT53=TRUE,BU53=TRUE,BV53=TRUE,BX53=TRUE)</f>
        <v>0</v>
      </c>
    </row>
    <row r="54" spans="1:79" x14ac:dyDescent="0.25">
      <c r="A54" t="s">
        <v>119</v>
      </c>
      <c r="B54">
        <f>HYPERLINK("data/charts/AXP.png", "Open")</f>
        <v>0</v>
      </c>
      <c r="C54" t="s">
        <v>279</v>
      </c>
      <c r="D54">
        <v>305.47</v>
      </c>
      <c r="E54">
        <v>-7.19</v>
      </c>
      <c r="F54">
        <v>38.58</v>
      </c>
      <c r="G54">
        <v>4.3</v>
      </c>
      <c r="H54">
        <v>292.88</v>
      </c>
      <c r="I54">
        <v>0.07679999999999999</v>
      </c>
      <c r="J54" t="b">
        <v>1</v>
      </c>
      <c r="K54">
        <v>306.6</v>
      </c>
      <c r="L54">
        <v>302.72</v>
      </c>
      <c r="M54">
        <v>303.74</v>
      </c>
      <c r="N54">
        <v>302.67</v>
      </c>
      <c r="O54" t="b">
        <v>1</v>
      </c>
      <c r="P54" t="b">
        <v>1</v>
      </c>
      <c r="Q54" t="b">
        <v>1</v>
      </c>
      <c r="R54">
        <v>51.67</v>
      </c>
      <c r="S54" t="b">
        <v>0</v>
      </c>
      <c r="T54" t="b">
        <v>0</v>
      </c>
      <c r="U54">
        <v>-1.2545</v>
      </c>
      <c r="V54">
        <v>-2.0303</v>
      </c>
      <c r="W54" t="b">
        <v>1</v>
      </c>
      <c r="X54" t="b">
        <v>1</v>
      </c>
      <c r="Y54">
        <v>2727200</v>
      </c>
      <c r="Z54">
        <v>2393555</v>
      </c>
      <c r="AA54" t="b">
        <v>0</v>
      </c>
      <c r="AB54">
        <v>302.72</v>
      </c>
      <c r="AC54">
        <v>313.84</v>
      </c>
      <c r="AD54">
        <v>291.6</v>
      </c>
      <c r="AE54">
        <v>0.624</v>
      </c>
      <c r="AF54">
        <v>0.073</v>
      </c>
      <c r="AG54">
        <v>313.62</v>
      </c>
      <c r="AH54">
        <v>288.34</v>
      </c>
      <c r="AI54" t="b">
        <v>0</v>
      </c>
      <c r="AJ54">
        <v>5.316</v>
      </c>
      <c r="AK54">
        <v>297.5</v>
      </c>
      <c r="AL54">
        <v>290.63</v>
      </c>
      <c r="AM54">
        <v>291.6</v>
      </c>
      <c r="AN54">
        <v>271.87</v>
      </c>
      <c r="AO54">
        <v>297.5</v>
      </c>
      <c r="AP54" t="s">
        <v>280</v>
      </c>
      <c r="AQ54">
        <v>271.87</v>
      </c>
      <c r="AR54">
        <v>336.02</v>
      </c>
      <c r="AS54">
        <v>0.05</v>
      </c>
      <c r="AT54">
        <v>0.07000000000000001</v>
      </c>
      <c r="AU54">
        <v>60</v>
      </c>
      <c r="AV54">
        <v>0.9092261211131456</v>
      </c>
      <c r="AW54">
        <v>4</v>
      </c>
      <c r="AX54">
        <v>6</v>
      </c>
      <c r="AY54">
        <v>29</v>
      </c>
      <c r="AZ54">
        <v>1000</v>
      </c>
      <c r="BA54">
        <v>15000</v>
      </c>
      <c r="BD54">
        <v>21.47</v>
      </c>
      <c r="BE54">
        <v>20.2</v>
      </c>
      <c r="BF54">
        <v>1.07</v>
      </c>
      <c r="BG54">
        <v>0.21</v>
      </c>
      <c r="BH54">
        <v>1.85</v>
      </c>
      <c r="BI54">
        <v>5.24</v>
      </c>
      <c r="BJ54">
        <v>12.09</v>
      </c>
      <c r="BK54">
        <v>16.16</v>
      </c>
      <c r="BM54">
        <v>-4.99</v>
      </c>
      <c r="BN54" t="s">
        <v>285</v>
      </c>
      <c r="BO54" t="b">
        <v>0</v>
      </c>
      <c r="BP54" s="1">
        <f>IFERROR(RANK.EQ(AX54,AX$2:AX$213,0),"")</f>
        <v>0</v>
      </c>
      <c r="BQ54">
        <f>IFERROR(Y54/Z54,"")</f>
        <v>0</v>
      </c>
      <c r="BR54">
        <f>IFERROR(U54-V54,"")</f>
        <v>0</v>
      </c>
      <c r="BS54">
        <f>IFERROR(U54&gt;V54,"")</f>
        <v>0</v>
      </c>
      <c r="BT54">
        <f>IF(AND(ISNUMBER(D54),ISNUMBER(H54),D54&gt;=H54), OR(O54=TRUE,P54=TRUE), FALSE)</f>
        <v>0</v>
      </c>
      <c r="BU54">
        <f>AND(ISNUMBER(R54), R54&gt;=45, R54&lt;=60, W54=TRUE, E54&gt;=-20)</f>
        <v>0</v>
      </c>
      <c r="BV54">
        <f>OR(AI54=TRUE,AA54=TRUE)</f>
        <v>0</v>
      </c>
      <c r="BW54">
        <f>IFERROR( (AR54-D54) / MAX(D54-AQ54,1E-9) ,"")</f>
        <v>0</v>
      </c>
      <c r="BX54">
        <f>IFERROR(BW54&gt;=2, FALSE)</f>
        <v>0</v>
      </c>
      <c r="BY54" s="1">
        <f>IFERROR(ROUNDDOWN(MIN(IF(BA54&gt;0, BA54/D54, 1E99),IF(AZ54&gt;0, AZ54/MAX(D54-AQ54,1E-9), 1E99)),0),"")</f>
        <v>0</v>
      </c>
      <c r="BZ54" s="2">
        <f>IF(AND(ISNUMBER(D54),ISNUMBER(AT54)), D54*(1-AT54), "")</f>
        <v>0</v>
      </c>
      <c r="CA54">
        <f>AND(BT54=TRUE,BU54=TRUE,BV54=TRUE,BX54=TRUE)</f>
        <v>0</v>
      </c>
    </row>
    <row r="55" spans="1:79" x14ac:dyDescent="0.25">
      <c r="A55" t="s">
        <v>120</v>
      </c>
      <c r="B55">
        <f>HYPERLINK("data/charts/COR.png", "Open")</f>
        <v>0</v>
      </c>
      <c r="C55" t="s">
        <v>279</v>
      </c>
      <c r="D55">
        <v>292.82</v>
      </c>
      <c r="E55">
        <v>-5.34</v>
      </c>
      <c r="F55">
        <v>33.92</v>
      </c>
      <c r="G55">
        <v>9.880000000000001</v>
      </c>
      <c r="H55">
        <v>266.48</v>
      </c>
      <c r="I55">
        <v>0.1181</v>
      </c>
      <c r="J55" t="b">
        <v>1</v>
      </c>
      <c r="K55">
        <v>292.42</v>
      </c>
      <c r="L55">
        <v>289.7</v>
      </c>
      <c r="M55">
        <v>290.53</v>
      </c>
      <c r="N55">
        <v>290.4</v>
      </c>
      <c r="O55" t="b">
        <v>1</v>
      </c>
      <c r="P55" t="b">
        <v>1</v>
      </c>
      <c r="Q55" t="b">
        <v>1</v>
      </c>
      <c r="R55">
        <v>52.34</v>
      </c>
      <c r="S55" t="b">
        <v>0</v>
      </c>
      <c r="T55" t="b">
        <v>0</v>
      </c>
      <c r="U55">
        <v>-0.5404</v>
      </c>
      <c r="V55">
        <v>-1.2504</v>
      </c>
      <c r="W55" t="b">
        <v>1</v>
      </c>
      <c r="X55" t="b">
        <v>1</v>
      </c>
      <c r="Y55">
        <v>1109000</v>
      </c>
      <c r="Z55">
        <v>1229550</v>
      </c>
      <c r="AA55" t="b">
        <v>0</v>
      </c>
      <c r="AB55">
        <v>289.7</v>
      </c>
      <c r="AC55">
        <v>297.6</v>
      </c>
      <c r="AD55">
        <v>281.8</v>
      </c>
      <c r="AE55">
        <v>0.698</v>
      </c>
      <c r="AF55">
        <v>0.055</v>
      </c>
      <c r="AG55">
        <v>297.63</v>
      </c>
      <c r="AH55">
        <v>273.43</v>
      </c>
      <c r="AI55" t="b">
        <v>0</v>
      </c>
      <c r="AJ55">
        <v>7.284</v>
      </c>
      <c r="AK55">
        <v>281.89</v>
      </c>
      <c r="AL55">
        <v>278.2</v>
      </c>
      <c r="AM55">
        <v>281.8</v>
      </c>
      <c r="AN55">
        <v>260.61</v>
      </c>
      <c r="AO55">
        <v>281.89</v>
      </c>
      <c r="AP55" t="s">
        <v>280</v>
      </c>
      <c r="AQ55">
        <v>260.61</v>
      </c>
      <c r="AR55">
        <v>322.1</v>
      </c>
      <c r="AS55">
        <v>0.05</v>
      </c>
      <c r="AT55">
        <v>0.07000000000000001</v>
      </c>
      <c r="AU55">
        <v>60</v>
      </c>
      <c r="AV55">
        <v>0.9090340272529407</v>
      </c>
      <c r="AW55">
        <v>4</v>
      </c>
      <c r="AX55">
        <v>6</v>
      </c>
      <c r="AY55">
        <v>31</v>
      </c>
      <c r="AZ55">
        <v>1000</v>
      </c>
      <c r="BA55">
        <v>15000</v>
      </c>
      <c r="BD55">
        <v>30.03</v>
      </c>
      <c r="BE55">
        <v>17.9</v>
      </c>
      <c r="BF55">
        <v>75</v>
      </c>
      <c r="BG55">
        <v>0.22</v>
      </c>
      <c r="BH55">
        <v>3.73</v>
      </c>
      <c r="BI55">
        <v>6.9</v>
      </c>
      <c r="BJ55">
        <v>-4.05</v>
      </c>
      <c r="BK55">
        <v>0.85</v>
      </c>
      <c r="BM55">
        <v>0.71</v>
      </c>
      <c r="BN55" t="s">
        <v>310</v>
      </c>
      <c r="BO55" t="b">
        <v>0</v>
      </c>
      <c r="BP55" s="1">
        <f>IFERROR(RANK.EQ(AX55,AX$2:AX$213,0),"")</f>
        <v>0</v>
      </c>
      <c r="BQ55">
        <f>IFERROR(Y55/Z55,"")</f>
        <v>0</v>
      </c>
      <c r="BR55">
        <f>IFERROR(U55-V55,"")</f>
        <v>0</v>
      </c>
      <c r="BS55">
        <f>IFERROR(U55&gt;V55,"")</f>
        <v>0</v>
      </c>
      <c r="BT55">
        <f>IF(AND(ISNUMBER(D55),ISNUMBER(H55),D55&gt;=H55), OR(O55=TRUE,P55=TRUE), FALSE)</f>
        <v>0</v>
      </c>
      <c r="BU55">
        <f>AND(ISNUMBER(R55), R55&gt;=45, R55&lt;=60, W55=TRUE, E55&gt;=-20)</f>
        <v>0</v>
      </c>
      <c r="BV55">
        <f>OR(AI55=TRUE,AA55=TRUE)</f>
        <v>0</v>
      </c>
      <c r="BW55">
        <f>IFERROR( (AR55-D55) / MAX(D55-AQ55,1E-9) ,"")</f>
        <v>0</v>
      </c>
      <c r="BX55">
        <f>IFERROR(BW55&gt;=2, FALSE)</f>
        <v>0</v>
      </c>
      <c r="BY55" s="1">
        <f>IFERROR(ROUNDDOWN(MIN(IF(BA55&gt;0, BA55/D55, 1E99),IF(AZ55&gt;0, AZ55/MAX(D55-AQ55,1E-9), 1E99)),0),"")</f>
        <v>0</v>
      </c>
      <c r="BZ55" s="2">
        <f>IF(AND(ISNUMBER(D55),ISNUMBER(AT55)), D55*(1-AT55), "")</f>
        <v>0</v>
      </c>
      <c r="CA55">
        <f>AND(BT55=TRUE,BU55=TRUE,BV55=TRUE,BX55=TRUE)</f>
        <v>0</v>
      </c>
    </row>
    <row r="56" spans="1:79" x14ac:dyDescent="0.25">
      <c r="A56" t="s">
        <v>121</v>
      </c>
      <c r="B56">
        <f>HYPERLINK("data/charts/PNR.png", "Open")</f>
        <v>0</v>
      </c>
      <c r="C56" t="s">
        <v>279</v>
      </c>
      <c r="D56">
        <v>104.98</v>
      </c>
      <c r="E56">
        <v>-5.18</v>
      </c>
      <c r="F56">
        <v>41.39</v>
      </c>
      <c r="G56">
        <v>6.76</v>
      </c>
      <c r="H56">
        <v>98.33</v>
      </c>
      <c r="I56">
        <v>0.052</v>
      </c>
      <c r="J56" t="b">
        <v>1</v>
      </c>
      <c r="K56">
        <v>102.89</v>
      </c>
      <c r="L56">
        <v>103.62</v>
      </c>
      <c r="M56">
        <v>104.16</v>
      </c>
      <c r="N56">
        <v>102.38</v>
      </c>
      <c r="O56" t="b">
        <v>1</v>
      </c>
      <c r="P56" t="b">
        <v>1</v>
      </c>
      <c r="Q56" t="b">
        <v>1</v>
      </c>
      <c r="R56">
        <v>53.14</v>
      </c>
      <c r="S56" t="b">
        <v>0</v>
      </c>
      <c r="T56" t="b">
        <v>0</v>
      </c>
      <c r="U56">
        <v>0.7225</v>
      </c>
      <c r="V56">
        <v>0.3917</v>
      </c>
      <c r="W56" t="b">
        <v>1</v>
      </c>
      <c r="X56" t="b">
        <v>1</v>
      </c>
      <c r="Y56">
        <v>1021700</v>
      </c>
      <c r="Z56">
        <v>2005505</v>
      </c>
      <c r="AA56" t="b">
        <v>0</v>
      </c>
      <c r="AB56">
        <v>103.62</v>
      </c>
      <c r="AC56">
        <v>107.51</v>
      </c>
      <c r="AD56">
        <v>99.73999999999999</v>
      </c>
      <c r="AE56">
        <v>0.674</v>
      </c>
      <c r="AF56">
        <v>0.075</v>
      </c>
      <c r="AG56">
        <v>109.14</v>
      </c>
      <c r="AH56">
        <v>97.41</v>
      </c>
      <c r="AI56" t="b">
        <v>0</v>
      </c>
      <c r="AJ56">
        <v>2.092</v>
      </c>
      <c r="AK56">
        <v>101.84</v>
      </c>
      <c r="AL56">
        <v>101.62</v>
      </c>
      <c r="AM56">
        <v>99.73999999999999</v>
      </c>
      <c r="AN56">
        <v>93.43000000000001</v>
      </c>
      <c r="AO56">
        <v>101.84</v>
      </c>
      <c r="AP56" t="s">
        <v>280</v>
      </c>
      <c r="AQ56">
        <v>93.43000000000001</v>
      </c>
      <c r="AR56">
        <v>115.48</v>
      </c>
      <c r="AS56">
        <v>0.05</v>
      </c>
      <c r="AT56">
        <v>0.07000000000000001</v>
      </c>
      <c r="AU56">
        <v>60</v>
      </c>
      <c r="AV56">
        <v>0.9090903542260145</v>
      </c>
      <c r="AW56">
        <v>4</v>
      </c>
      <c r="AX56">
        <v>6</v>
      </c>
      <c r="AY56">
        <v>86</v>
      </c>
      <c r="AZ56">
        <v>1000</v>
      </c>
      <c r="BA56">
        <v>15000</v>
      </c>
      <c r="BD56">
        <v>28.68</v>
      </c>
      <c r="BE56">
        <v>21.65</v>
      </c>
      <c r="BF56">
        <v>95</v>
      </c>
      <c r="BG56">
        <v>0.26</v>
      </c>
      <c r="BH56">
        <v>0.41</v>
      </c>
      <c r="BI56">
        <v>11.15</v>
      </c>
      <c r="BJ56">
        <v>-4.26</v>
      </c>
      <c r="BK56">
        <v>13.22</v>
      </c>
      <c r="BM56">
        <v>-1.42</v>
      </c>
      <c r="BN56" t="s">
        <v>311</v>
      </c>
      <c r="BO56" t="b">
        <v>0</v>
      </c>
      <c r="BP56" s="1">
        <f>IFERROR(RANK.EQ(AX56,AX$2:AX$213,0),"")</f>
        <v>0</v>
      </c>
      <c r="BQ56">
        <f>IFERROR(Y56/Z56,"")</f>
        <v>0</v>
      </c>
      <c r="BR56">
        <f>IFERROR(U56-V56,"")</f>
        <v>0</v>
      </c>
      <c r="BS56">
        <f>IFERROR(U56&gt;V56,"")</f>
        <v>0</v>
      </c>
      <c r="BT56">
        <f>IF(AND(ISNUMBER(D56),ISNUMBER(H56),D56&gt;=H56), OR(O56=TRUE,P56=TRUE), FALSE)</f>
        <v>0</v>
      </c>
      <c r="BU56">
        <f>AND(ISNUMBER(R56), R56&gt;=45, R56&lt;=60, W56=TRUE, E56&gt;=-20)</f>
        <v>0</v>
      </c>
      <c r="BV56">
        <f>OR(AI56=TRUE,AA56=TRUE)</f>
        <v>0</v>
      </c>
      <c r="BW56">
        <f>IFERROR( (AR56-D56) / MAX(D56-AQ56,1E-9) ,"")</f>
        <v>0</v>
      </c>
      <c r="BX56">
        <f>IFERROR(BW56&gt;=2, FALSE)</f>
        <v>0</v>
      </c>
      <c r="BY56" s="1">
        <f>IFERROR(ROUNDDOWN(MIN(IF(BA56&gt;0, BA56/D56, 1E99),IF(AZ56&gt;0, AZ56/MAX(D56-AQ56,1E-9), 1E99)),0),"")</f>
        <v>0</v>
      </c>
      <c r="BZ56" s="2">
        <f>IF(AND(ISNUMBER(D56),ISNUMBER(AT56)), D56*(1-AT56), "")</f>
        <v>0</v>
      </c>
      <c r="CA56">
        <f>AND(BT56=TRUE,BU56=TRUE,BV56=TRUE,BX56=TRUE)</f>
        <v>0</v>
      </c>
    </row>
    <row r="57" spans="1:79" x14ac:dyDescent="0.25">
      <c r="A57" t="s">
        <v>122</v>
      </c>
      <c r="B57">
        <f>HYPERLINK("data/charts/PPG.png", "Open")</f>
        <v>0</v>
      </c>
      <c r="C57" t="s">
        <v>279</v>
      </c>
      <c r="D57">
        <v>111.8</v>
      </c>
      <c r="E57">
        <v>-18.54</v>
      </c>
      <c r="F57">
        <v>23.89</v>
      </c>
      <c r="G57">
        <v>-2.36</v>
      </c>
      <c r="H57">
        <v>114.51</v>
      </c>
      <c r="I57">
        <v>-0.0653</v>
      </c>
      <c r="J57" t="b">
        <v>0</v>
      </c>
      <c r="K57">
        <v>112.34</v>
      </c>
      <c r="L57">
        <v>110.06</v>
      </c>
      <c r="M57">
        <v>110.25</v>
      </c>
      <c r="N57">
        <v>111.23</v>
      </c>
      <c r="O57" t="b">
        <v>1</v>
      </c>
      <c r="P57" t="b">
        <v>1</v>
      </c>
      <c r="Q57" t="b">
        <v>1</v>
      </c>
      <c r="R57">
        <v>53.4</v>
      </c>
      <c r="S57" t="b">
        <v>0</v>
      </c>
      <c r="T57" t="b">
        <v>0</v>
      </c>
      <c r="U57">
        <v>-0.8949</v>
      </c>
      <c r="V57">
        <v>-1.4827</v>
      </c>
      <c r="W57" t="b">
        <v>1</v>
      </c>
      <c r="X57" t="b">
        <v>1</v>
      </c>
      <c r="Y57">
        <v>1400200</v>
      </c>
      <c r="Z57">
        <v>2050660</v>
      </c>
      <c r="AA57" t="b">
        <v>0</v>
      </c>
      <c r="AB57">
        <v>110.06</v>
      </c>
      <c r="AC57">
        <v>118.45</v>
      </c>
      <c r="AD57">
        <v>101.68</v>
      </c>
      <c r="AE57">
        <v>0.604</v>
      </c>
      <c r="AF57">
        <v>0.152</v>
      </c>
      <c r="AG57">
        <v>117.29</v>
      </c>
      <c r="AH57">
        <v>102.78</v>
      </c>
      <c r="AI57" t="b">
        <v>0</v>
      </c>
      <c r="AJ57">
        <v>2.318</v>
      </c>
      <c r="AK57">
        <v>108.32</v>
      </c>
      <c r="AL57">
        <v>102.78</v>
      </c>
      <c r="AM57">
        <v>101.68</v>
      </c>
      <c r="AN57">
        <v>99.5</v>
      </c>
      <c r="AO57">
        <v>108.32</v>
      </c>
      <c r="AP57" t="s">
        <v>280</v>
      </c>
      <c r="AQ57">
        <v>99.5</v>
      </c>
      <c r="AR57">
        <v>122.98</v>
      </c>
      <c r="AS57">
        <v>0.05</v>
      </c>
      <c r="AT57">
        <v>0.07000000000000001</v>
      </c>
      <c r="AU57">
        <v>60</v>
      </c>
      <c r="AV57">
        <v>0.9089426158023953</v>
      </c>
      <c r="AW57">
        <v>4</v>
      </c>
      <c r="AX57">
        <v>6</v>
      </c>
      <c r="AY57">
        <v>81</v>
      </c>
      <c r="AZ57">
        <v>1000</v>
      </c>
      <c r="BA57">
        <v>15000</v>
      </c>
      <c r="BD57">
        <v>20.22</v>
      </c>
      <c r="BE57">
        <v>12.63</v>
      </c>
      <c r="BF57">
        <v>2.54</v>
      </c>
      <c r="BG57">
        <v>0.49</v>
      </c>
      <c r="BH57">
        <v>1.03</v>
      </c>
      <c r="BI57">
        <v>13.87</v>
      </c>
      <c r="BJ57">
        <v>21.47</v>
      </c>
      <c r="BK57">
        <v>10.73</v>
      </c>
      <c r="BM57">
        <v>-1.37</v>
      </c>
      <c r="BN57" t="s">
        <v>285</v>
      </c>
      <c r="BO57" t="b">
        <v>0</v>
      </c>
      <c r="BP57" s="1">
        <f>IFERROR(RANK.EQ(AX57,AX$2:AX$213,0),"")</f>
        <v>0</v>
      </c>
      <c r="BQ57">
        <f>IFERROR(Y57/Z57,"")</f>
        <v>0</v>
      </c>
      <c r="BR57">
        <f>IFERROR(U57-V57,"")</f>
        <v>0</v>
      </c>
      <c r="BS57">
        <f>IFERROR(U57&gt;V57,"")</f>
        <v>0</v>
      </c>
      <c r="BT57">
        <f>IF(AND(ISNUMBER(D57),ISNUMBER(H57),D57&gt;=H57), OR(O57=TRUE,P57=TRUE), FALSE)</f>
        <v>0</v>
      </c>
      <c r="BU57">
        <f>AND(ISNUMBER(R57), R57&gt;=45, R57&lt;=60, W57=TRUE, E57&gt;=-20)</f>
        <v>0</v>
      </c>
      <c r="BV57">
        <f>OR(AI57=TRUE,AA57=TRUE)</f>
        <v>0</v>
      </c>
      <c r="BW57">
        <f>IFERROR( (AR57-D57) / MAX(D57-AQ57,1E-9) ,"")</f>
        <v>0</v>
      </c>
      <c r="BX57">
        <f>IFERROR(BW57&gt;=2, FALSE)</f>
        <v>0</v>
      </c>
      <c r="BY57" s="1">
        <f>IFERROR(ROUNDDOWN(MIN(IF(BA57&gt;0, BA57/D57, 1E99),IF(AZ57&gt;0, AZ57/MAX(D57-AQ57,1E-9), 1E99)),0),"")</f>
        <v>0</v>
      </c>
      <c r="BZ57" s="2">
        <f>IF(AND(ISNUMBER(D57),ISNUMBER(AT57)), D57*(1-AT57), "")</f>
        <v>0</v>
      </c>
      <c r="CA57">
        <f>AND(BT57=TRUE,BU57=TRUE,BV57=TRUE,BX57=TRUE)</f>
        <v>0</v>
      </c>
    </row>
    <row r="58" spans="1:79" x14ac:dyDescent="0.25">
      <c r="A58" t="s">
        <v>123</v>
      </c>
      <c r="B58">
        <f>HYPERLINK("data/charts/YUM.png", "Open")</f>
        <v>0</v>
      </c>
      <c r="C58" t="s">
        <v>279</v>
      </c>
      <c r="D58">
        <v>148.18</v>
      </c>
      <c r="E58">
        <v>-9.26</v>
      </c>
      <c r="F58">
        <v>21.33</v>
      </c>
      <c r="G58">
        <v>3.53</v>
      </c>
      <c r="H58">
        <v>143.12</v>
      </c>
      <c r="I58">
        <v>0.0411</v>
      </c>
      <c r="J58" t="b">
        <v>1</v>
      </c>
      <c r="K58">
        <v>145.51</v>
      </c>
      <c r="L58">
        <v>144.76</v>
      </c>
      <c r="M58">
        <v>144.91</v>
      </c>
      <c r="N58">
        <v>145.59</v>
      </c>
      <c r="O58" t="b">
        <v>1</v>
      </c>
      <c r="P58" t="b">
        <v>1</v>
      </c>
      <c r="Q58" t="b">
        <v>1</v>
      </c>
      <c r="R58">
        <v>56.71</v>
      </c>
      <c r="S58" t="b">
        <v>0</v>
      </c>
      <c r="T58" t="b">
        <v>0</v>
      </c>
      <c r="U58">
        <v>-0.4402</v>
      </c>
      <c r="V58">
        <v>-0.8545</v>
      </c>
      <c r="W58" t="b">
        <v>1</v>
      </c>
      <c r="X58" t="b">
        <v>1</v>
      </c>
      <c r="Y58">
        <v>2604300</v>
      </c>
      <c r="Z58">
        <v>2168550</v>
      </c>
      <c r="AA58" t="b">
        <v>0</v>
      </c>
      <c r="AB58">
        <v>144.76</v>
      </c>
      <c r="AC58">
        <v>149.88</v>
      </c>
      <c r="AD58">
        <v>139.63</v>
      </c>
      <c r="AE58">
        <v>0.834</v>
      </c>
      <c r="AF58">
        <v>0.07099999999999999</v>
      </c>
      <c r="AG58">
        <v>150.05</v>
      </c>
      <c r="AH58">
        <v>139.06</v>
      </c>
      <c r="AI58" t="b">
        <v>0</v>
      </c>
      <c r="AJ58">
        <v>2.903</v>
      </c>
      <c r="AK58">
        <v>143.83</v>
      </c>
      <c r="AL58">
        <v>140.3</v>
      </c>
      <c r="AM58">
        <v>139.63</v>
      </c>
      <c r="AN58">
        <v>131.88</v>
      </c>
      <c r="AO58">
        <v>143.83</v>
      </c>
      <c r="AP58" t="s">
        <v>280</v>
      </c>
      <c r="AQ58">
        <v>131.88</v>
      </c>
      <c r="AR58">
        <v>163</v>
      </c>
      <c r="AS58">
        <v>0.05</v>
      </c>
      <c r="AT58">
        <v>0.07000000000000001</v>
      </c>
      <c r="AU58">
        <v>60</v>
      </c>
      <c r="AV58">
        <v>0.9092033118664227</v>
      </c>
      <c r="AW58">
        <v>4</v>
      </c>
      <c r="AX58">
        <v>6</v>
      </c>
      <c r="AY58">
        <v>61</v>
      </c>
      <c r="AZ58">
        <v>1000</v>
      </c>
      <c r="BA58">
        <v>15000</v>
      </c>
      <c r="BD58">
        <v>29.23</v>
      </c>
      <c r="BE58">
        <v>24.37</v>
      </c>
      <c r="BF58">
        <v>1.92</v>
      </c>
      <c r="BG58">
        <v>0.54</v>
      </c>
      <c r="BH58">
        <v>-1.48</v>
      </c>
      <c r="BI58">
        <v>8.109999999999999</v>
      </c>
      <c r="BJ58">
        <v>47.25</v>
      </c>
      <c r="BK58">
        <v>19.36</v>
      </c>
      <c r="BM58">
        <v>15.38</v>
      </c>
      <c r="BN58" t="s">
        <v>285</v>
      </c>
      <c r="BO58" t="b">
        <v>0</v>
      </c>
      <c r="BP58" s="1">
        <f>IFERROR(RANK.EQ(AX58,AX$2:AX$213,0),"")</f>
        <v>0</v>
      </c>
      <c r="BQ58">
        <f>IFERROR(Y58/Z58,"")</f>
        <v>0</v>
      </c>
      <c r="BR58">
        <f>IFERROR(U58-V58,"")</f>
        <v>0</v>
      </c>
      <c r="BS58">
        <f>IFERROR(U58&gt;V58,"")</f>
        <v>0</v>
      </c>
      <c r="BT58">
        <f>IF(AND(ISNUMBER(D58),ISNUMBER(H58),D58&gt;=H58), OR(O58=TRUE,P58=TRUE), FALSE)</f>
        <v>0</v>
      </c>
      <c r="BU58">
        <f>AND(ISNUMBER(R58), R58&gt;=45, R58&lt;=60, W58=TRUE, E58&gt;=-20)</f>
        <v>0</v>
      </c>
      <c r="BV58">
        <f>OR(AI58=TRUE,AA58=TRUE)</f>
        <v>0</v>
      </c>
      <c r="BW58">
        <f>IFERROR( (AR58-D58) / MAX(D58-AQ58,1E-9) ,"")</f>
        <v>0</v>
      </c>
      <c r="BX58">
        <f>IFERROR(BW58&gt;=2, FALSE)</f>
        <v>0</v>
      </c>
      <c r="BY58" s="1">
        <f>IFERROR(ROUNDDOWN(MIN(IF(BA58&gt;0, BA58/D58, 1E99),IF(AZ58&gt;0, AZ58/MAX(D58-AQ58,1E-9), 1E99)),0),"")</f>
        <v>0</v>
      </c>
      <c r="BZ58" s="2">
        <f>IF(AND(ISNUMBER(D58),ISNUMBER(AT58)), D58*(1-AT58), "")</f>
        <v>0</v>
      </c>
      <c r="CA58">
        <f>AND(BT58=TRUE,BU58=TRUE,BV58=TRUE,BX58=TRUE)</f>
        <v>0</v>
      </c>
    </row>
    <row r="59" spans="1:79" x14ac:dyDescent="0.25">
      <c r="A59" t="s">
        <v>124</v>
      </c>
      <c r="B59">
        <f>HYPERLINK("data/charts/GRMN.png", "Open")</f>
        <v>0</v>
      </c>
      <c r="C59" t="s">
        <v>279</v>
      </c>
      <c r="D59">
        <v>232.34</v>
      </c>
      <c r="E59">
        <v>-5.74</v>
      </c>
      <c r="F59">
        <v>44.36</v>
      </c>
      <c r="G59">
        <v>10.41</v>
      </c>
      <c r="H59">
        <v>210.44</v>
      </c>
      <c r="I59">
        <v>0.1065</v>
      </c>
      <c r="J59" t="b">
        <v>1</v>
      </c>
      <c r="K59">
        <v>218.15</v>
      </c>
      <c r="L59">
        <v>229.95</v>
      </c>
      <c r="M59">
        <v>228.3</v>
      </c>
      <c r="N59">
        <v>220.69</v>
      </c>
      <c r="O59" t="b">
        <v>1</v>
      </c>
      <c r="P59" t="b">
        <v>1</v>
      </c>
      <c r="Q59" t="b">
        <v>1</v>
      </c>
      <c r="R59">
        <v>57.38</v>
      </c>
      <c r="S59" t="b">
        <v>0</v>
      </c>
      <c r="T59" t="b">
        <v>0</v>
      </c>
      <c r="U59">
        <v>4.1647</v>
      </c>
      <c r="V59">
        <v>4.2636</v>
      </c>
      <c r="W59" t="b">
        <v>1</v>
      </c>
      <c r="X59" t="b">
        <v>1</v>
      </c>
      <c r="Y59">
        <v>633800</v>
      </c>
      <c r="Z59">
        <v>885820</v>
      </c>
      <c r="AA59" t="b">
        <v>0</v>
      </c>
      <c r="AB59">
        <v>229.95</v>
      </c>
      <c r="AC59">
        <v>241.13</v>
      </c>
      <c r="AD59">
        <v>218.77</v>
      </c>
      <c r="AE59">
        <v>0.607</v>
      </c>
      <c r="AF59">
        <v>0.097</v>
      </c>
      <c r="AG59">
        <v>242.47</v>
      </c>
      <c r="AH59">
        <v>214.44</v>
      </c>
      <c r="AI59" t="b">
        <v>0</v>
      </c>
      <c r="AJ59">
        <v>5.744</v>
      </c>
      <c r="AK59">
        <v>223.72</v>
      </c>
      <c r="AL59">
        <v>214.44</v>
      </c>
      <c r="AM59">
        <v>218.77</v>
      </c>
      <c r="AN59">
        <v>206.78</v>
      </c>
      <c r="AO59">
        <v>223.72</v>
      </c>
      <c r="AP59" t="s">
        <v>280</v>
      </c>
      <c r="AQ59">
        <v>206.78</v>
      </c>
      <c r="AR59">
        <v>255.57</v>
      </c>
      <c r="AS59">
        <v>0.05</v>
      </c>
      <c r="AT59">
        <v>0.07000000000000001</v>
      </c>
      <c r="AU59">
        <v>60</v>
      </c>
      <c r="AV59">
        <v>0.9088422140214774</v>
      </c>
      <c r="AW59">
        <v>4</v>
      </c>
      <c r="AX59">
        <v>6</v>
      </c>
      <c r="AY59">
        <v>39</v>
      </c>
      <c r="AZ59">
        <v>1000</v>
      </c>
      <c r="BA59">
        <v>15000</v>
      </c>
      <c r="BD59">
        <v>28.65</v>
      </c>
      <c r="BE59">
        <v>31.14</v>
      </c>
      <c r="BF59">
        <v>1.55</v>
      </c>
      <c r="BG59">
        <v>0.39</v>
      </c>
      <c r="BH59">
        <v>0.02</v>
      </c>
      <c r="BI59">
        <v>18.21</v>
      </c>
      <c r="BJ59">
        <v>20.23</v>
      </c>
      <c r="BK59">
        <v>22.09</v>
      </c>
      <c r="BM59">
        <v>0.86</v>
      </c>
      <c r="BN59" t="s">
        <v>286</v>
      </c>
      <c r="BO59" t="b">
        <v>0</v>
      </c>
      <c r="BP59" s="1">
        <f>IFERROR(RANK.EQ(AX59,AX$2:AX$213,0),"")</f>
        <v>0</v>
      </c>
      <c r="BQ59">
        <f>IFERROR(Y59/Z59,"")</f>
        <v>0</v>
      </c>
      <c r="BR59">
        <f>IFERROR(U59-V59,"")</f>
        <v>0</v>
      </c>
      <c r="BS59">
        <f>IFERROR(U59&gt;V59,"")</f>
        <v>0</v>
      </c>
      <c r="BT59">
        <f>IF(AND(ISNUMBER(D59),ISNUMBER(H59),D59&gt;=H59), OR(O59=TRUE,P59=TRUE), FALSE)</f>
        <v>0</v>
      </c>
      <c r="BU59">
        <f>AND(ISNUMBER(R59), R59&gt;=45, R59&lt;=60, W59=TRUE, E59&gt;=-20)</f>
        <v>0</v>
      </c>
      <c r="BV59">
        <f>OR(AI59=TRUE,AA59=TRUE)</f>
        <v>0</v>
      </c>
      <c r="BW59">
        <f>IFERROR( (AR59-D59) / MAX(D59-AQ59,1E-9) ,"")</f>
        <v>0</v>
      </c>
      <c r="BX59">
        <f>IFERROR(BW59&gt;=2, FALSE)</f>
        <v>0</v>
      </c>
      <c r="BY59" s="1">
        <f>IFERROR(ROUNDDOWN(MIN(IF(BA59&gt;0, BA59/D59, 1E99),IF(AZ59&gt;0, AZ59/MAX(D59-AQ59,1E-9), 1E99)),0),"")</f>
        <v>0</v>
      </c>
      <c r="BZ59" s="2">
        <f>IF(AND(ISNUMBER(D59),ISNUMBER(AT59)), D59*(1-AT59), "")</f>
        <v>0</v>
      </c>
      <c r="CA59">
        <f>AND(BT59=TRUE,BU59=TRUE,BV59=TRUE,BX59=TRUE)</f>
        <v>0</v>
      </c>
    </row>
    <row r="60" spans="1:79" x14ac:dyDescent="0.25">
      <c r="A60" t="s">
        <v>125</v>
      </c>
      <c r="B60">
        <f>HYPERLINK("data/charts/PFE.png", "Open")</f>
        <v>0</v>
      </c>
      <c r="C60" t="s">
        <v>279</v>
      </c>
      <c r="D60">
        <v>25.14</v>
      </c>
      <c r="E60">
        <v>-17.38</v>
      </c>
      <c r="F60">
        <v>20.17</v>
      </c>
      <c r="G60">
        <v>0.21</v>
      </c>
      <c r="H60">
        <v>25.09</v>
      </c>
      <c r="I60">
        <v>-0.08939999999999999</v>
      </c>
      <c r="J60" t="b">
        <v>0</v>
      </c>
      <c r="K60">
        <v>24.54</v>
      </c>
      <c r="L60">
        <v>24.49</v>
      </c>
      <c r="M60">
        <v>24.59</v>
      </c>
      <c r="N60">
        <v>24.45</v>
      </c>
      <c r="O60" t="b">
        <v>1</v>
      </c>
      <c r="P60" t="b">
        <v>1</v>
      </c>
      <c r="Q60" t="b">
        <v>1</v>
      </c>
      <c r="R60">
        <v>57.57</v>
      </c>
      <c r="S60" t="b">
        <v>0</v>
      </c>
      <c r="T60" t="b">
        <v>0</v>
      </c>
      <c r="U60">
        <v>0.1028</v>
      </c>
      <c r="V60">
        <v>-0.0111</v>
      </c>
      <c r="W60" t="b">
        <v>1</v>
      </c>
      <c r="X60" t="b">
        <v>1</v>
      </c>
      <c r="Y60">
        <v>31824800</v>
      </c>
      <c r="Z60">
        <v>45002555</v>
      </c>
      <c r="AA60" t="b">
        <v>0</v>
      </c>
      <c r="AB60">
        <v>24.49</v>
      </c>
      <c r="AC60">
        <v>25.73</v>
      </c>
      <c r="AD60">
        <v>23.25</v>
      </c>
      <c r="AE60">
        <v>0.763</v>
      </c>
      <c r="AF60">
        <v>0.101</v>
      </c>
      <c r="AG60">
        <v>25.54</v>
      </c>
      <c r="AH60">
        <v>23.11</v>
      </c>
      <c r="AI60" t="b">
        <v>0</v>
      </c>
      <c r="AJ60">
        <v>0.477</v>
      </c>
      <c r="AK60">
        <v>24.42</v>
      </c>
      <c r="AL60">
        <v>23.11</v>
      </c>
      <c r="AM60">
        <v>23.25</v>
      </c>
      <c r="AN60">
        <v>22.37</v>
      </c>
      <c r="AO60">
        <v>24.42</v>
      </c>
      <c r="AP60" t="s">
        <v>280</v>
      </c>
      <c r="AQ60">
        <v>22.37</v>
      </c>
      <c r="AR60">
        <v>27.65</v>
      </c>
      <c r="AS60">
        <v>0.05</v>
      </c>
      <c r="AT60">
        <v>0.07000000000000001</v>
      </c>
      <c r="AU60">
        <v>60</v>
      </c>
      <c r="AV60">
        <v>0.9061376041206008</v>
      </c>
      <c r="AW60">
        <v>4</v>
      </c>
      <c r="AX60">
        <v>6</v>
      </c>
      <c r="AY60">
        <v>361</v>
      </c>
      <c r="AZ60">
        <v>1000</v>
      </c>
      <c r="BA60">
        <v>15000</v>
      </c>
      <c r="BD60">
        <v>13.3</v>
      </c>
      <c r="BE60">
        <v>8.58</v>
      </c>
      <c r="BF60">
        <v>6.84</v>
      </c>
      <c r="BG60">
        <v>0.9</v>
      </c>
      <c r="BH60">
        <v>0.68</v>
      </c>
      <c r="BI60">
        <v>6.84</v>
      </c>
      <c r="BJ60">
        <v>-1.92</v>
      </c>
      <c r="BK60">
        <v>19.86</v>
      </c>
      <c r="BM60">
        <v>0</v>
      </c>
      <c r="BN60" t="s">
        <v>311</v>
      </c>
      <c r="BO60" t="b">
        <v>0</v>
      </c>
      <c r="BP60" s="1">
        <f>IFERROR(RANK.EQ(AX60,AX$2:AX$213,0),"")</f>
        <v>0</v>
      </c>
      <c r="BQ60">
        <f>IFERROR(Y60/Z60,"")</f>
        <v>0</v>
      </c>
      <c r="BR60">
        <f>IFERROR(U60-V60,"")</f>
        <v>0</v>
      </c>
      <c r="BS60">
        <f>IFERROR(U60&gt;V60,"")</f>
        <v>0</v>
      </c>
      <c r="BT60">
        <f>IF(AND(ISNUMBER(D60),ISNUMBER(H60),D60&gt;=H60), OR(O60=TRUE,P60=TRUE), FALSE)</f>
        <v>0</v>
      </c>
      <c r="BU60">
        <f>AND(ISNUMBER(R60), R60&gt;=45, R60&lt;=60, W60=TRUE, E60&gt;=-20)</f>
        <v>0</v>
      </c>
      <c r="BV60">
        <f>OR(AI60=TRUE,AA60=TRUE)</f>
        <v>0</v>
      </c>
      <c r="BW60">
        <f>IFERROR( (AR60-D60) / MAX(D60-AQ60,1E-9) ,"")</f>
        <v>0</v>
      </c>
      <c r="BX60">
        <f>IFERROR(BW60&gt;=2, FALSE)</f>
        <v>0</v>
      </c>
      <c r="BY60" s="1">
        <f>IFERROR(ROUNDDOWN(MIN(IF(BA60&gt;0, BA60/D60, 1E99),IF(AZ60&gt;0, AZ60/MAX(D60-AQ60,1E-9), 1E99)),0),"")</f>
        <v>0</v>
      </c>
      <c r="BZ60" s="2">
        <f>IF(AND(ISNUMBER(D60),ISNUMBER(AT60)), D60*(1-AT60), "")</f>
        <v>0</v>
      </c>
      <c r="CA60">
        <f>AND(BT60=TRUE,BU60=TRUE,BV60=TRUE,BX60=TRUE)</f>
        <v>0</v>
      </c>
    </row>
    <row r="61" spans="1:79" x14ac:dyDescent="0.25">
      <c r="A61" t="s">
        <v>126</v>
      </c>
      <c r="B61">
        <f>HYPERLINK("data/charts/QCOM.png", "Open")</f>
        <v>0</v>
      </c>
      <c r="C61" t="s">
        <v>279</v>
      </c>
      <c r="D61">
        <v>157.85</v>
      </c>
      <c r="E61">
        <v>-13.32</v>
      </c>
      <c r="F61">
        <v>30.67</v>
      </c>
      <c r="G61">
        <v>0.91</v>
      </c>
      <c r="H61">
        <v>156.43</v>
      </c>
      <c r="I61">
        <v>-0.0393</v>
      </c>
      <c r="J61" t="b">
        <v>0</v>
      </c>
      <c r="K61">
        <v>155.35</v>
      </c>
      <c r="L61">
        <v>153.95</v>
      </c>
      <c r="M61">
        <v>153.59</v>
      </c>
      <c r="N61">
        <v>153.75</v>
      </c>
      <c r="O61" t="b">
        <v>1</v>
      </c>
      <c r="P61" t="b">
        <v>1</v>
      </c>
      <c r="Q61" t="b">
        <v>1</v>
      </c>
      <c r="R61">
        <v>58.02</v>
      </c>
      <c r="S61" t="b">
        <v>0</v>
      </c>
      <c r="T61" t="b">
        <v>0</v>
      </c>
      <c r="U61">
        <v>-0.3317</v>
      </c>
      <c r="V61">
        <v>-1.1866</v>
      </c>
      <c r="W61" t="b">
        <v>1</v>
      </c>
      <c r="X61" t="b">
        <v>0</v>
      </c>
      <c r="Y61">
        <v>7580600</v>
      </c>
      <c r="Z61">
        <v>8752595</v>
      </c>
      <c r="AA61" t="b">
        <v>0</v>
      </c>
      <c r="AB61">
        <v>153.95</v>
      </c>
      <c r="AC61">
        <v>165.68</v>
      </c>
      <c r="AD61">
        <v>142.22</v>
      </c>
      <c r="AE61">
        <v>0.666</v>
      </c>
      <c r="AF61">
        <v>0.152</v>
      </c>
      <c r="AG61">
        <v>163.6</v>
      </c>
      <c r="AH61">
        <v>144.11</v>
      </c>
      <c r="AI61" t="b">
        <v>0</v>
      </c>
      <c r="AJ61">
        <v>3.996</v>
      </c>
      <c r="AK61">
        <v>151.86</v>
      </c>
      <c r="AL61">
        <v>144.11</v>
      </c>
      <c r="AM61">
        <v>142.22</v>
      </c>
      <c r="AN61">
        <v>140.49</v>
      </c>
      <c r="AO61">
        <v>151.86</v>
      </c>
      <c r="AP61" t="s">
        <v>280</v>
      </c>
      <c r="AQ61">
        <v>140.49</v>
      </c>
      <c r="AR61">
        <v>173.64</v>
      </c>
      <c r="AS61">
        <v>0.05</v>
      </c>
      <c r="AT61">
        <v>0.07000000000000001</v>
      </c>
      <c r="AU61">
        <v>60</v>
      </c>
      <c r="AV61">
        <v>0.9095615406083695</v>
      </c>
      <c r="AW61">
        <v>4</v>
      </c>
      <c r="AX61">
        <v>6</v>
      </c>
      <c r="AY61">
        <v>57</v>
      </c>
      <c r="AZ61">
        <v>1000</v>
      </c>
      <c r="BA61">
        <v>15000</v>
      </c>
      <c r="BD61">
        <v>15.25</v>
      </c>
      <c r="BE61">
        <v>12.91</v>
      </c>
      <c r="BF61">
        <v>2.26</v>
      </c>
      <c r="BG61">
        <v>0.33</v>
      </c>
      <c r="BH61">
        <v>0.54</v>
      </c>
      <c r="BI61">
        <v>-5.59</v>
      </c>
      <c r="BJ61">
        <v>-4.31</v>
      </c>
      <c r="BK61">
        <v>25.72</v>
      </c>
      <c r="BM61">
        <v>0.61</v>
      </c>
      <c r="BN61" t="s">
        <v>305</v>
      </c>
      <c r="BO61" t="b">
        <v>0</v>
      </c>
      <c r="BP61" s="1">
        <f>IFERROR(RANK.EQ(AX61,AX$2:AX$213,0),"")</f>
        <v>0</v>
      </c>
      <c r="BQ61">
        <f>IFERROR(Y61/Z61,"")</f>
        <v>0</v>
      </c>
      <c r="BR61">
        <f>IFERROR(U61-V61,"")</f>
        <v>0</v>
      </c>
      <c r="BS61">
        <f>IFERROR(U61&gt;V61,"")</f>
        <v>0</v>
      </c>
      <c r="BT61">
        <f>IF(AND(ISNUMBER(D61),ISNUMBER(H61),D61&gt;=H61), OR(O61=TRUE,P61=TRUE), FALSE)</f>
        <v>0</v>
      </c>
      <c r="BU61">
        <f>AND(ISNUMBER(R61), R61&gt;=45, R61&lt;=60, W61=TRUE, E61&gt;=-20)</f>
        <v>0</v>
      </c>
      <c r="BV61">
        <f>OR(AI61=TRUE,AA61=TRUE)</f>
        <v>0</v>
      </c>
      <c r="BW61">
        <f>IFERROR( (AR61-D61) / MAX(D61-AQ61,1E-9) ,"")</f>
        <v>0</v>
      </c>
      <c r="BX61">
        <f>IFERROR(BW61&gt;=2, FALSE)</f>
        <v>0</v>
      </c>
      <c r="BY61" s="1">
        <f>IFERROR(ROUNDDOWN(MIN(IF(BA61&gt;0, BA61/D61, 1E99),IF(AZ61&gt;0, AZ61/MAX(D61-AQ61,1E-9), 1E99)),0),"")</f>
        <v>0</v>
      </c>
      <c r="BZ61" s="2">
        <f>IF(AND(ISNUMBER(D61),ISNUMBER(AT61)), D61*(1-AT61), "")</f>
        <v>0</v>
      </c>
      <c r="CA61">
        <f>AND(BT61=TRUE,BU61=TRUE,BV61=TRUE,BX61=TRUE)</f>
        <v>0</v>
      </c>
    </row>
    <row r="62" spans="1:79" x14ac:dyDescent="0.25">
      <c r="A62" t="s">
        <v>127</v>
      </c>
      <c r="B62">
        <f>HYPERLINK("data/charts/POOL.png", "Open")</f>
        <v>0</v>
      </c>
      <c r="C62" t="s">
        <v>279</v>
      </c>
      <c r="D62">
        <v>321.75</v>
      </c>
      <c r="E62">
        <v>-18.67</v>
      </c>
      <c r="F62">
        <v>14.01</v>
      </c>
      <c r="G62">
        <v>-2.03</v>
      </c>
      <c r="H62">
        <v>328.42</v>
      </c>
      <c r="I62">
        <v>-0.0873</v>
      </c>
      <c r="J62" t="b">
        <v>0</v>
      </c>
      <c r="K62">
        <v>304.51</v>
      </c>
      <c r="L62">
        <v>314.62</v>
      </c>
      <c r="M62">
        <v>313.18</v>
      </c>
      <c r="N62">
        <v>309.1</v>
      </c>
      <c r="O62" t="b">
        <v>1</v>
      </c>
      <c r="P62" t="b">
        <v>1</v>
      </c>
      <c r="Q62" t="b">
        <v>1</v>
      </c>
      <c r="R62">
        <v>58.4</v>
      </c>
      <c r="S62" t="b">
        <v>0</v>
      </c>
      <c r="T62" t="b">
        <v>0</v>
      </c>
      <c r="U62">
        <v>4.1817</v>
      </c>
      <c r="V62">
        <v>3.1039</v>
      </c>
      <c r="W62" t="b">
        <v>1</v>
      </c>
      <c r="X62" t="b">
        <v>1</v>
      </c>
      <c r="Y62">
        <v>870400</v>
      </c>
      <c r="Z62">
        <v>527290</v>
      </c>
      <c r="AA62" t="b">
        <v>0</v>
      </c>
      <c r="AB62">
        <v>314.62</v>
      </c>
      <c r="AC62">
        <v>330.79</v>
      </c>
      <c r="AD62">
        <v>298.46</v>
      </c>
      <c r="AE62">
        <v>0.72</v>
      </c>
      <c r="AF62">
        <v>0.103</v>
      </c>
      <c r="AG62">
        <v>345</v>
      </c>
      <c r="AH62">
        <v>298.61</v>
      </c>
      <c r="AI62" t="b">
        <v>0</v>
      </c>
      <c r="AJ62">
        <v>8.028</v>
      </c>
      <c r="AK62">
        <v>309.71</v>
      </c>
      <c r="AL62">
        <v>301.24</v>
      </c>
      <c r="AM62">
        <v>298.46</v>
      </c>
      <c r="AN62">
        <v>286.36</v>
      </c>
      <c r="AO62">
        <v>309.71</v>
      </c>
      <c r="AP62" t="s">
        <v>280</v>
      </c>
      <c r="AQ62">
        <v>286.36</v>
      </c>
      <c r="AR62">
        <v>353.93</v>
      </c>
      <c r="AS62">
        <v>0.05</v>
      </c>
      <c r="AT62">
        <v>0.07000000000000001</v>
      </c>
      <c r="AU62">
        <v>60</v>
      </c>
      <c r="AV62">
        <v>0.9092964114156546</v>
      </c>
      <c r="AW62">
        <v>4</v>
      </c>
      <c r="AX62">
        <v>6</v>
      </c>
      <c r="AY62">
        <v>28</v>
      </c>
      <c r="AZ62">
        <v>1000</v>
      </c>
      <c r="BA62">
        <v>15000</v>
      </c>
      <c r="BD62">
        <v>29.68</v>
      </c>
      <c r="BE62">
        <v>26.75</v>
      </c>
      <c r="BF62">
        <v>1.55</v>
      </c>
      <c r="BG62">
        <v>0.45</v>
      </c>
      <c r="BH62">
        <v>1.2</v>
      </c>
      <c r="BI62">
        <v>66.54000000000001</v>
      </c>
      <c r="BJ62">
        <v>265.49</v>
      </c>
      <c r="BK62">
        <v>10.89</v>
      </c>
      <c r="BM62">
        <v>32.98</v>
      </c>
      <c r="BN62" t="s">
        <v>285</v>
      </c>
      <c r="BO62" t="b">
        <v>0</v>
      </c>
      <c r="BP62" s="1">
        <f>IFERROR(RANK.EQ(AX62,AX$2:AX$213,0),"")</f>
        <v>0</v>
      </c>
      <c r="BQ62">
        <f>IFERROR(Y62/Z62,"")</f>
        <v>0</v>
      </c>
      <c r="BR62">
        <f>IFERROR(U62-V62,"")</f>
        <v>0</v>
      </c>
      <c r="BS62">
        <f>IFERROR(U62&gt;V62,"")</f>
        <v>0</v>
      </c>
      <c r="BT62">
        <f>IF(AND(ISNUMBER(D62),ISNUMBER(H62),D62&gt;=H62), OR(O62=TRUE,P62=TRUE), FALSE)</f>
        <v>0</v>
      </c>
      <c r="BU62">
        <f>AND(ISNUMBER(R62), R62&gt;=45, R62&lt;=60, W62=TRUE, E62&gt;=-20)</f>
        <v>0</v>
      </c>
      <c r="BV62">
        <f>OR(AI62=TRUE,AA62=TRUE)</f>
        <v>0</v>
      </c>
      <c r="BW62">
        <f>IFERROR( (AR62-D62) / MAX(D62-AQ62,1E-9) ,"")</f>
        <v>0</v>
      </c>
      <c r="BX62">
        <f>IFERROR(BW62&gt;=2, FALSE)</f>
        <v>0</v>
      </c>
      <c r="BY62" s="1">
        <f>IFERROR(ROUNDDOWN(MIN(IF(BA62&gt;0, BA62/D62, 1E99),IF(AZ62&gt;0, AZ62/MAX(D62-AQ62,1E-9), 1E99)),0),"")</f>
        <v>0</v>
      </c>
      <c r="BZ62" s="2">
        <f>IF(AND(ISNUMBER(D62),ISNUMBER(AT62)), D62*(1-AT62), "")</f>
        <v>0</v>
      </c>
      <c r="CA62">
        <f>AND(BT62=TRUE,BU62=TRUE,BV62=TRUE,BX62=TRUE)</f>
        <v>0</v>
      </c>
    </row>
    <row r="63" spans="1:79" x14ac:dyDescent="0.25">
      <c r="A63" t="s">
        <v>128</v>
      </c>
      <c r="B63">
        <f>HYPERLINK("data/charts/SWK.png", "Open")</f>
        <v>0</v>
      </c>
      <c r="C63" t="s">
        <v>279</v>
      </c>
      <c r="D63">
        <v>74.06</v>
      </c>
      <c r="E63">
        <v>-33.21</v>
      </c>
      <c r="F63">
        <v>37.38</v>
      </c>
      <c r="G63">
        <v>-3.29</v>
      </c>
      <c r="H63">
        <v>76.58</v>
      </c>
      <c r="I63">
        <v>-0.2252</v>
      </c>
      <c r="J63" t="b">
        <v>0</v>
      </c>
      <c r="K63">
        <v>69.42</v>
      </c>
      <c r="L63">
        <v>70.81999999999999</v>
      </c>
      <c r="M63">
        <v>70.94</v>
      </c>
      <c r="N63">
        <v>69.95</v>
      </c>
      <c r="O63" t="b">
        <v>1</v>
      </c>
      <c r="P63" t="b">
        <v>1</v>
      </c>
      <c r="Q63" t="b">
        <v>1</v>
      </c>
      <c r="R63">
        <v>59.55</v>
      </c>
      <c r="S63" t="b">
        <v>0</v>
      </c>
      <c r="T63" t="b">
        <v>0</v>
      </c>
      <c r="U63">
        <v>0.9069</v>
      </c>
      <c r="V63">
        <v>0.3676</v>
      </c>
      <c r="W63" t="b">
        <v>1</v>
      </c>
      <c r="X63" t="b">
        <v>1</v>
      </c>
      <c r="Y63">
        <v>1557600</v>
      </c>
      <c r="Z63">
        <v>2129380</v>
      </c>
      <c r="AA63" t="b">
        <v>0</v>
      </c>
      <c r="AB63">
        <v>70.81999999999999</v>
      </c>
      <c r="AC63">
        <v>76.40000000000001</v>
      </c>
      <c r="AD63">
        <v>65.23999999999999</v>
      </c>
      <c r="AE63">
        <v>0.791</v>
      </c>
      <c r="AF63">
        <v>0.158</v>
      </c>
      <c r="AG63">
        <v>76.20999999999999</v>
      </c>
      <c r="AH63">
        <v>65.41</v>
      </c>
      <c r="AI63" t="b">
        <v>0</v>
      </c>
      <c r="AJ63">
        <v>2.165</v>
      </c>
      <c r="AK63">
        <v>70.81</v>
      </c>
      <c r="AL63">
        <v>68</v>
      </c>
      <c r="AM63">
        <v>65.23999999999999</v>
      </c>
      <c r="AN63">
        <v>65.91</v>
      </c>
      <c r="AO63">
        <v>70.81</v>
      </c>
      <c r="AP63" t="s">
        <v>280</v>
      </c>
      <c r="AQ63">
        <v>65.91</v>
      </c>
      <c r="AR63">
        <v>81.47</v>
      </c>
      <c r="AS63">
        <v>0.05</v>
      </c>
      <c r="AT63">
        <v>0.07000000000000001</v>
      </c>
      <c r="AU63">
        <v>60</v>
      </c>
      <c r="AV63">
        <v>0.9092030259067725</v>
      </c>
      <c r="AW63">
        <v>4</v>
      </c>
      <c r="AX63">
        <v>6</v>
      </c>
      <c r="AY63">
        <v>122</v>
      </c>
      <c r="AZ63">
        <v>1000</v>
      </c>
      <c r="BA63">
        <v>15000</v>
      </c>
      <c r="BD63">
        <v>23.44</v>
      </c>
      <c r="BE63">
        <v>13.49</v>
      </c>
      <c r="BF63">
        <v>4.48</v>
      </c>
      <c r="BG63">
        <v>1.04</v>
      </c>
      <c r="BH63">
        <v>0.74</v>
      </c>
      <c r="BI63">
        <v>5.36</v>
      </c>
      <c r="BJ63">
        <v>11.67</v>
      </c>
      <c r="BK63">
        <v>2.58</v>
      </c>
      <c r="BM63">
        <v>0.42</v>
      </c>
      <c r="BN63" t="s">
        <v>299</v>
      </c>
      <c r="BO63" t="b">
        <v>0</v>
      </c>
      <c r="BP63" s="1">
        <f>IFERROR(RANK.EQ(AX63,AX$2:AX$213,0),"")</f>
        <v>0</v>
      </c>
      <c r="BQ63">
        <f>IFERROR(Y63/Z63,"")</f>
        <v>0</v>
      </c>
      <c r="BR63">
        <f>IFERROR(U63-V63,"")</f>
        <v>0</v>
      </c>
      <c r="BS63">
        <f>IFERROR(U63&gt;V63,"")</f>
        <v>0</v>
      </c>
      <c r="BT63">
        <f>IF(AND(ISNUMBER(D63),ISNUMBER(H63),D63&gt;=H63), OR(O63=TRUE,P63=TRUE), FALSE)</f>
        <v>0</v>
      </c>
      <c r="BU63">
        <f>AND(ISNUMBER(R63), R63&gt;=45, R63&lt;=60, W63=TRUE, E63&gt;=-20)</f>
        <v>0</v>
      </c>
      <c r="BV63">
        <f>OR(AI63=TRUE,AA63=TRUE)</f>
        <v>0</v>
      </c>
      <c r="BW63">
        <f>IFERROR( (AR63-D63) / MAX(D63-AQ63,1E-9) ,"")</f>
        <v>0</v>
      </c>
      <c r="BX63">
        <f>IFERROR(BW63&gt;=2, FALSE)</f>
        <v>0</v>
      </c>
      <c r="BY63" s="1">
        <f>IFERROR(ROUNDDOWN(MIN(IF(BA63&gt;0, BA63/D63, 1E99),IF(AZ63&gt;0, AZ63/MAX(D63-AQ63,1E-9), 1E99)),0),"")</f>
        <v>0</v>
      </c>
      <c r="BZ63" s="2">
        <f>IF(AND(ISNUMBER(D63),ISNUMBER(AT63)), D63*(1-AT63), "")</f>
        <v>0</v>
      </c>
      <c r="CA63">
        <f>AND(BT63=TRUE,BU63=TRUE,BV63=TRUE,BX63=TRUE)</f>
        <v>0</v>
      </c>
    </row>
    <row r="64" spans="1:79" x14ac:dyDescent="0.25">
      <c r="A64" t="s">
        <v>129</v>
      </c>
      <c r="B64">
        <f>HYPERLINK("data/charts/FOXA.png", "Open")</f>
        <v>0</v>
      </c>
      <c r="C64" t="s">
        <v>279</v>
      </c>
      <c r="D64">
        <v>58.36</v>
      </c>
      <c r="E64">
        <v>-3.12</v>
      </c>
      <c r="F64">
        <v>50.74</v>
      </c>
      <c r="G64">
        <v>12.49</v>
      </c>
      <c r="H64">
        <v>51.88</v>
      </c>
      <c r="I64">
        <v>0.1402</v>
      </c>
      <c r="J64" t="b">
        <v>1</v>
      </c>
      <c r="K64">
        <v>55.64</v>
      </c>
      <c r="L64">
        <v>56.09</v>
      </c>
      <c r="M64">
        <v>56.3</v>
      </c>
      <c r="N64">
        <v>55.56</v>
      </c>
      <c r="O64" t="b">
        <v>1</v>
      </c>
      <c r="P64" t="b">
        <v>1</v>
      </c>
      <c r="Q64" t="b">
        <v>1</v>
      </c>
      <c r="R64">
        <v>59.62</v>
      </c>
      <c r="S64" t="b">
        <v>0</v>
      </c>
      <c r="T64" t="b">
        <v>0</v>
      </c>
      <c r="U64">
        <v>0.5804</v>
      </c>
      <c r="V64">
        <v>0.1814</v>
      </c>
      <c r="W64" t="b">
        <v>1</v>
      </c>
      <c r="X64" t="b">
        <v>1</v>
      </c>
      <c r="Y64">
        <v>4439100</v>
      </c>
      <c r="Z64">
        <v>3680890</v>
      </c>
      <c r="AA64" t="b">
        <v>0</v>
      </c>
      <c r="AB64">
        <v>56.09</v>
      </c>
      <c r="AC64">
        <v>59.2</v>
      </c>
      <c r="AD64">
        <v>52.99</v>
      </c>
      <c r="AE64">
        <v>0.865</v>
      </c>
      <c r="AF64">
        <v>0.111</v>
      </c>
      <c r="AG64">
        <v>60.24</v>
      </c>
      <c r="AH64">
        <v>53.05</v>
      </c>
      <c r="AI64" t="b">
        <v>0</v>
      </c>
      <c r="AJ64">
        <v>1.44</v>
      </c>
      <c r="AK64">
        <v>56.2</v>
      </c>
      <c r="AL64">
        <v>53.05</v>
      </c>
      <c r="AM64">
        <v>52.99</v>
      </c>
      <c r="AN64">
        <v>51.94</v>
      </c>
      <c r="AO64">
        <v>56.2</v>
      </c>
      <c r="AP64" t="s">
        <v>280</v>
      </c>
      <c r="AQ64">
        <v>51.94</v>
      </c>
      <c r="AR64">
        <v>64.2</v>
      </c>
      <c r="AS64">
        <v>0.05</v>
      </c>
      <c r="AT64">
        <v>0.07000000000000001</v>
      </c>
      <c r="AU64">
        <v>60</v>
      </c>
      <c r="AV64">
        <v>0.9096571393205268</v>
      </c>
      <c r="AW64">
        <v>4</v>
      </c>
      <c r="AX64">
        <v>6</v>
      </c>
      <c r="AY64">
        <v>155</v>
      </c>
      <c r="AZ64">
        <v>1000</v>
      </c>
      <c r="BA64">
        <v>15000</v>
      </c>
      <c r="BD64">
        <v>11.89</v>
      </c>
      <c r="BE64">
        <v>15.65</v>
      </c>
      <c r="BF64">
        <v>96</v>
      </c>
      <c r="BG64">
        <v>0.11</v>
      </c>
      <c r="BH64">
        <v>0.6</v>
      </c>
      <c r="BI64">
        <v>-24.8</v>
      </c>
      <c r="BJ64">
        <v>107.23</v>
      </c>
      <c r="BK64">
        <v>21.81</v>
      </c>
      <c r="BM64">
        <v>0.1</v>
      </c>
      <c r="BN64" t="s">
        <v>312</v>
      </c>
      <c r="BO64" t="b">
        <v>0</v>
      </c>
      <c r="BP64" s="1">
        <f>IFERROR(RANK.EQ(AX64,AX$2:AX$213,0),"")</f>
        <v>0</v>
      </c>
      <c r="BQ64">
        <f>IFERROR(Y64/Z64,"")</f>
        <v>0</v>
      </c>
      <c r="BR64">
        <f>IFERROR(U64-V64,"")</f>
        <v>0</v>
      </c>
      <c r="BS64">
        <f>IFERROR(U64&gt;V64,"")</f>
        <v>0</v>
      </c>
      <c r="BT64">
        <f>IF(AND(ISNUMBER(D64),ISNUMBER(H64),D64&gt;=H64), OR(O64=TRUE,P64=TRUE), FALSE)</f>
        <v>0</v>
      </c>
      <c r="BU64">
        <f>AND(ISNUMBER(R64), R64&gt;=45, R64&lt;=60, W64=TRUE, E64&gt;=-20)</f>
        <v>0</v>
      </c>
      <c r="BV64">
        <f>OR(AI64=TRUE,AA64=TRUE)</f>
        <v>0</v>
      </c>
      <c r="BW64">
        <f>IFERROR( (AR64-D64) / MAX(D64-AQ64,1E-9) ,"")</f>
        <v>0</v>
      </c>
      <c r="BX64">
        <f>IFERROR(BW64&gt;=2, FALSE)</f>
        <v>0</v>
      </c>
      <c r="BY64" s="1">
        <f>IFERROR(ROUNDDOWN(MIN(IF(BA64&gt;0, BA64/D64, 1E99),IF(AZ64&gt;0, AZ64/MAX(D64-AQ64,1E-9), 1E99)),0),"")</f>
        <v>0</v>
      </c>
      <c r="BZ64" s="2">
        <f>IF(AND(ISNUMBER(D64),ISNUMBER(AT64)), D64*(1-AT64), "")</f>
        <v>0</v>
      </c>
      <c r="CA64">
        <f>AND(BT64=TRUE,BU64=TRUE,BV64=TRUE,BX64=TRUE)</f>
        <v>0</v>
      </c>
    </row>
    <row r="65" spans="1:79" x14ac:dyDescent="0.25">
      <c r="A65" t="s">
        <v>130</v>
      </c>
      <c r="B65">
        <f>HYPERLINK("data/charts/IAG_TO.png", "Open")</f>
        <v>0</v>
      </c>
      <c r="C65" t="s">
        <v>279</v>
      </c>
      <c r="D65">
        <v>147.35</v>
      </c>
      <c r="E65">
        <v>-2.6</v>
      </c>
      <c r="F65">
        <v>49.35</v>
      </c>
      <c r="G65">
        <v>9.32</v>
      </c>
      <c r="H65">
        <v>134.79</v>
      </c>
      <c r="I65">
        <v>0.1254</v>
      </c>
      <c r="J65" t="b">
        <v>1</v>
      </c>
      <c r="K65">
        <v>143.49</v>
      </c>
      <c r="L65">
        <v>142.72</v>
      </c>
      <c r="M65">
        <v>143.59</v>
      </c>
      <c r="N65">
        <v>142.41</v>
      </c>
      <c r="O65" t="b">
        <v>1</v>
      </c>
      <c r="P65" t="b">
        <v>1</v>
      </c>
      <c r="Q65" t="b">
        <v>1</v>
      </c>
      <c r="R65">
        <v>59.8</v>
      </c>
      <c r="S65" t="b">
        <v>0</v>
      </c>
      <c r="T65" t="b">
        <v>0</v>
      </c>
      <c r="U65">
        <v>0.8685</v>
      </c>
      <c r="V65">
        <v>-0.0639</v>
      </c>
      <c r="W65" t="b">
        <v>1</v>
      </c>
      <c r="X65" t="b">
        <v>1</v>
      </c>
      <c r="Y65">
        <v>801800</v>
      </c>
      <c r="Z65">
        <v>284620</v>
      </c>
      <c r="AA65" t="b">
        <v>0</v>
      </c>
      <c r="AB65">
        <v>142.72</v>
      </c>
      <c r="AC65">
        <v>150.06</v>
      </c>
      <c r="AD65">
        <v>135.38</v>
      </c>
      <c r="AE65">
        <v>0.8149999999999999</v>
      </c>
      <c r="AF65">
        <v>0.103</v>
      </c>
      <c r="AG65">
        <v>149.87</v>
      </c>
      <c r="AH65">
        <v>133.36</v>
      </c>
      <c r="AI65" t="b">
        <v>0</v>
      </c>
      <c r="AJ65">
        <v>3.2</v>
      </c>
      <c r="AK65">
        <v>142.55</v>
      </c>
      <c r="AL65">
        <v>133.36</v>
      </c>
      <c r="AM65">
        <v>135.38</v>
      </c>
      <c r="AN65">
        <v>131.14</v>
      </c>
      <c r="AO65">
        <v>142.55</v>
      </c>
      <c r="AP65" t="s">
        <v>280</v>
      </c>
      <c r="AQ65">
        <v>131.14</v>
      </c>
      <c r="AR65">
        <v>162.09</v>
      </c>
      <c r="AS65">
        <v>0.05</v>
      </c>
      <c r="AT65">
        <v>0.07000000000000001</v>
      </c>
      <c r="AU65">
        <v>60</v>
      </c>
      <c r="AV65">
        <v>0.9093145185977171</v>
      </c>
      <c r="AW65">
        <v>4</v>
      </c>
      <c r="AX65">
        <v>6</v>
      </c>
      <c r="AY65">
        <v>61</v>
      </c>
      <c r="AZ65">
        <v>1000</v>
      </c>
      <c r="BA65">
        <v>15000</v>
      </c>
      <c r="BD65">
        <v>13.76</v>
      </c>
      <c r="BE65">
        <v>12.37</v>
      </c>
      <c r="BF65">
        <v>2.69</v>
      </c>
      <c r="BG65">
        <v>0.33</v>
      </c>
      <c r="BH65">
        <v>0.19</v>
      </c>
      <c r="BI65">
        <v>7.16</v>
      </c>
      <c r="BJ65">
        <v>73.37</v>
      </c>
      <c r="BK65">
        <v>19</v>
      </c>
      <c r="BM65">
        <v>0.26</v>
      </c>
      <c r="BN65" t="s">
        <v>285</v>
      </c>
      <c r="BO65" t="b">
        <v>0</v>
      </c>
      <c r="BP65" s="1">
        <f>IFERROR(RANK.EQ(AX65,AX$2:AX$213,0),"")</f>
        <v>0</v>
      </c>
      <c r="BQ65">
        <f>IFERROR(Y65/Z65,"")</f>
        <v>0</v>
      </c>
      <c r="BR65">
        <f>IFERROR(U65-V65,"")</f>
        <v>0</v>
      </c>
      <c r="BS65">
        <f>IFERROR(U65&gt;V65,"")</f>
        <v>0</v>
      </c>
      <c r="BT65">
        <f>IF(AND(ISNUMBER(D65),ISNUMBER(H65),D65&gt;=H65), OR(O65=TRUE,P65=TRUE), FALSE)</f>
        <v>0</v>
      </c>
      <c r="BU65">
        <f>AND(ISNUMBER(R65), R65&gt;=45, R65&lt;=60, W65=TRUE, E65&gt;=-20)</f>
        <v>0</v>
      </c>
      <c r="BV65">
        <f>OR(AI65=TRUE,AA65=TRUE)</f>
        <v>0</v>
      </c>
      <c r="BW65">
        <f>IFERROR( (AR65-D65) / MAX(D65-AQ65,1E-9) ,"")</f>
        <v>0</v>
      </c>
      <c r="BX65">
        <f>IFERROR(BW65&gt;=2, FALSE)</f>
        <v>0</v>
      </c>
      <c r="BY65" s="1">
        <f>IFERROR(ROUNDDOWN(MIN(IF(BA65&gt;0, BA65/D65, 1E99),IF(AZ65&gt;0, AZ65/MAX(D65-AQ65,1E-9), 1E99)),0),"")</f>
        <v>0</v>
      </c>
      <c r="BZ65" s="2">
        <f>IF(AND(ISNUMBER(D65),ISNUMBER(AT65)), D65*(1-AT65), "")</f>
        <v>0</v>
      </c>
      <c r="CA65">
        <f>AND(BT65=TRUE,BU65=TRUE,BV65=TRUE,BX65=TRUE)</f>
        <v>0</v>
      </c>
    </row>
    <row r="66" spans="1:79" x14ac:dyDescent="0.25">
      <c r="A66" t="s">
        <v>131</v>
      </c>
      <c r="B66">
        <f>HYPERLINK("data/charts/SWKS.png", "Open")</f>
        <v>0</v>
      </c>
      <c r="C66" t="s">
        <v>279</v>
      </c>
      <c r="D66">
        <v>74.52</v>
      </c>
      <c r="E66">
        <v>-32.72</v>
      </c>
      <c r="F66">
        <v>55.48</v>
      </c>
      <c r="G66">
        <v>-1.22</v>
      </c>
      <c r="H66">
        <v>75.44</v>
      </c>
      <c r="I66">
        <v>-0.1733</v>
      </c>
      <c r="J66" t="b">
        <v>0</v>
      </c>
      <c r="K66">
        <v>72.89</v>
      </c>
      <c r="L66">
        <v>71.12</v>
      </c>
      <c r="M66">
        <v>71.81999999999999</v>
      </c>
      <c r="N66">
        <v>71.76000000000001</v>
      </c>
      <c r="O66" t="b">
        <v>1</v>
      </c>
      <c r="P66" t="b">
        <v>1</v>
      </c>
      <c r="Q66" t="b">
        <v>1</v>
      </c>
      <c r="R66">
        <v>59.99</v>
      </c>
      <c r="S66" t="b">
        <v>0</v>
      </c>
      <c r="T66" t="b">
        <v>0</v>
      </c>
      <c r="U66">
        <v>0.06950000000000001</v>
      </c>
      <c r="V66">
        <v>-0.6355</v>
      </c>
      <c r="W66" t="b">
        <v>1</v>
      </c>
      <c r="X66" t="b">
        <v>1</v>
      </c>
      <c r="Y66">
        <v>2364300</v>
      </c>
      <c r="Z66">
        <v>2666620</v>
      </c>
      <c r="AA66" t="b">
        <v>0</v>
      </c>
      <c r="AB66">
        <v>71.12</v>
      </c>
      <c r="AC66">
        <v>75.83</v>
      </c>
      <c r="AD66">
        <v>66.41</v>
      </c>
      <c r="AE66">
        <v>0.861</v>
      </c>
      <c r="AF66">
        <v>0.132</v>
      </c>
      <c r="AG66">
        <v>75.86</v>
      </c>
      <c r="AH66">
        <v>65.7</v>
      </c>
      <c r="AI66" t="b">
        <v>0</v>
      </c>
      <c r="AJ66">
        <v>2.402</v>
      </c>
      <c r="AK66">
        <v>70.92</v>
      </c>
      <c r="AL66">
        <v>65.7</v>
      </c>
      <c r="AM66">
        <v>66.41</v>
      </c>
      <c r="AN66">
        <v>66.31999999999999</v>
      </c>
      <c r="AO66">
        <v>70.92</v>
      </c>
      <c r="AP66" t="s">
        <v>280</v>
      </c>
      <c r="AQ66">
        <v>66.31999999999999</v>
      </c>
      <c r="AR66">
        <v>81.97</v>
      </c>
      <c r="AS66">
        <v>0.05</v>
      </c>
      <c r="AT66">
        <v>0.07000000000000001</v>
      </c>
      <c r="AU66">
        <v>60</v>
      </c>
      <c r="AV66">
        <v>0.9085373666869748</v>
      </c>
      <c r="AW66">
        <v>4</v>
      </c>
      <c r="AX66">
        <v>6</v>
      </c>
      <c r="AY66">
        <v>121</v>
      </c>
      <c r="AZ66">
        <v>1000</v>
      </c>
      <c r="BA66">
        <v>15000</v>
      </c>
      <c r="BD66">
        <v>29.69</v>
      </c>
      <c r="BE66">
        <v>11.64</v>
      </c>
      <c r="BF66">
        <v>3.81</v>
      </c>
      <c r="BG66">
        <v>1.12</v>
      </c>
      <c r="BH66">
        <v>0.21</v>
      </c>
      <c r="BI66">
        <v>1.24</v>
      </c>
      <c r="BJ66">
        <v>62.79</v>
      </c>
      <c r="BK66">
        <v>10.88</v>
      </c>
      <c r="BM66">
        <v>-2.25</v>
      </c>
      <c r="BN66" t="s">
        <v>290</v>
      </c>
      <c r="BO66" t="b">
        <v>0</v>
      </c>
      <c r="BP66" s="1">
        <f>IFERROR(RANK.EQ(AX66,AX$2:AX$213,0),"")</f>
        <v>0</v>
      </c>
      <c r="BQ66">
        <f>IFERROR(Y66/Z66,"")</f>
        <v>0</v>
      </c>
      <c r="BR66">
        <f>IFERROR(U66-V66,"")</f>
        <v>0</v>
      </c>
      <c r="BS66">
        <f>IFERROR(U66&gt;V66,"")</f>
        <v>0</v>
      </c>
      <c r="BT66">
        <f>IF(AND(ISNUMBER(D66),ISNUMBER(H66),D66&gt;=H66), OR(O66=TRUE,P66=TRUE), FALSE)</f>
        <v>0</v>
      </c>
      <c r="BU66">
        <f>AND(ISNUMBER(R66), R66&gt;=45, R66&lt;=60, W66=TRUE, E66&gt;=-20)</f>
        <v>0</v>
      </c>
      <c r="BV66">
        <f>OR(AI66=TRUE,AA66=TRUE)</f>
        <v>0</v>
      </c>
      <c r="BW66">
        <f>IFERROR( (AR66-D66) / MAX(D66-AQ66,1E-9) ,"")</f>
        <v>0</v>
      </c>
      <c r="BX66">
        <f>IFERROR(BW66&gt;=2, FALSE)</f>
        <v>0</v>
      </c>
      <c r="BY66" s="1">
        <f>IFERROR(ROUNDDOWN(MIN(IF(BA66&gt;0, BA66/D66, 1E99),IF(AZ66&gt;0, AZ66/MAX(D66-AQ66,1E-9), 1E99)),0),"")</f>
        <v>0</v>
      </c>
      <c r="BZ66" s="2">
        <f>IF(AND(ISNUMBER(D66),ISNUMBER(AT66)), D66*(1-AT66), "")</f>
        <v>0</v>
      </c>
      <c r="CA66">
        <f>AND(BT66=TRUE,BU66=TRUE,BV66=TRUE,BX66=TRUE)</f>
        <v>0</v>
      </c>
    </row>
    <row r="67" spans="1:79" x14ac:dyDescent="0.25">
      <c r="A67" t="s">
        <v>132</v>
      </c>
      <c r="B67">
        <f>HYPERLINK("data/charts/MDT.png", "Open")</f>
        <v>0</v>
      </c>
      <c r="C67" t="s">
        <v>279</v>
      </c>
      <c r="D67">
        <v>93.02</v>
      </c>
      <c r="E67">
        <v>-3.36</v>
      </c>
      <c r="F67">
        <v>17.32</v>
      </c>
      <c r="G67">
        <v>6.61</v>
      </c>
      <c r="H67">
        <v>87.25</v>
      </c>
      <c r="I67">
        <v>-0.0005999999999999999</v>
      </c>
      <c r="J67" t="b">
        <v>0</v>
      </c>
      <c r="K67">
        <v>89.3</v>
      </c>
      <c r="L67">
        <v>91.48999999999999</v>
      </c>
      <c r="M67">
        <v>91.2</v>
      </c>
      <c r="N67">
        <v>89.59</v>
      </c>
      <c r="O67" t="b">
        <v>1</v>
      </c>
      <c r="P67" t="b">
        <v>1</v>
      </c>
      <c r="Q67" t="b">
        <v>1</v>
      </c>
      <c r="R67">
        <v>61.35</v>
      </c>
      <c r="S67" t="b">
        <v>0</v>
      </c>
      <c r="T67" t="b">
        <v>0</v>
      </c>
      <c r="U67">
        <v>0.9326</v>
      </c>
      <c r="V67">
        <v>0.8751</v>
      </c>
      <c r="W67" t="b">
        <v>1</v>
      </c>
      <c r="X67" t="b">
        <v>1</v>
      </c>
      <c r="Y67">
        <v>6640700</v>
      </c>
      <c r="Z67">
        <v>6456870</v>
      </c>
      <c r="AA67" t="b">
        <v>0</v>
      </c>
      <c r="AB67">
        <v>91.48999999999999</v>
      </c>
      <c r="AC67">
        <v>94.06999999999999</v>
      </c>
      <c r="AD67">
        <v>88.90000000000001</v>
      </c>
      <c r="AE67">
        <v>0.796</v>
      </c>
      <c r="AF67">
        <v>0.057</v>
      </c>
      <c r="AG67">
        <v>93.28</v>
      </c>
      <c r="AH67">
        <v>88.25</v>
      </c>
      <c r="AI67" t="b">
        <v>0</v>
      </c>
      <c r="AJ67">
        <v>1.354</v>
      </c>
      <c r="AK67">
        <v>90.98999999999999</v>
      </c>
      <c r="AL67">
        <v>88.25</v>
      </c>
      <c r="AM67">
        <v>88.90000000000001</v>
      </c>
      <c r="AN67">
        <v>82.79000000000001</v>
      </c>
      <c r="AO67">
        <v>90.98999999999999</v>
      </c>
      <c r="AP67" t="s">
        <v>280</v>
      </c>
      <c r="AQ67">
        <v>82.79000000000001</v>
      </c>
      <c r="AR67">
        <v>102.32</v>
      </c>
      <c r="AS67">
        <v>0.05</v>
      </c>
      <c r="AT67">
        <v>0.07000000000000001</v>
      </c>
      <c r="AU67">
        <v>60</v>
      </c>
      <c r="AV67">
        <v>0.9090915355516626</v>
      </c>
      <c r="AW67">
        <v>4</v>
      </c>
      <c r="AX67">
        <v>6</v>
      </c>
      <c r="AY67">
        <v>97</v>
      </c>
      <c r="AZ67">
        <v>1000</v>
      </c>
      <c r="BA67">
        <v>15000</v>
      </c>
      <c r="BD67">
        <v>25.77</v>
      </c>
      <c r="BE67">
        <v>15.9</v>
      </c>
      <c r="BF67">
        <v>3.05</v>
      </c>
      <c r="BG67">
        <v>0.78</v>
      </c>
      <c r="BH67">
        <v>0.59</v>
      </c>
      <c r="BI67">
        <v>7.66</v>
      </c>
      <c r="BJ67">
        <v>-18.39</v>
      </c>
      <c r="BK67">
        <v>11.83</v>
      </c>
      <c r="BM67">
        <v>0.42</v>
      </c>
      <c r="BN67" t="s">
        <v>311</v>
      </c>
      <c r="BO67" t="b">
        <v>0</v>
      </c>
      <c r="BP67" s="1">
        <f>IFERROR(RANK.EQ(AX67,AX$2:AX$213,0),"")</f>
        <v>0</v>
      </c>
      <c r="BQ67">
        <f>IFERROR(Y67/Z67,"")</f>
        <v>0</v>
      </c>
      <c r="BR67">
        <f>IFERROR(U67-V67,"")</f>
        <v>0</v>
      </c>
      <c r="BS67">
        <f>IFERROR(U67&gt;V67,"")</f>
        <v>0</v>
      </c>
      <c r="BT67">
        <f>IF(AND(ISNUMBER(D67),ISNUMBER(H67),D67&gt;=H67), OR(O67=TRUE,P67=TRUE), FALSE)</f>
        <v>0</v>
      </c>
      <c r="BU67">
        <f>AND(ISNUMBER(R67), R67&gt;=45, R67&lt;=60, W67=TRUE, E67&gt;=-20)</f>
        <v>0</v>
      </c>
      <c r="BV67">
        <f>OR(AI67=TRUE,AA67=TRUE)</f>
        <v>0</v>
      </c>
      <c r="BW67">
        <f>IFERROR( (AR67-D67) / MAX(D67-AQ67,1E-9) ,"")</f>
        <v>0</v>
      </c>
      <c r="BX67">
        <f>IFERROR(BW67&gt;=2, FALSE)</f>
        <v>0</v>
      </c>
      <c r="BY67" s="1">
        <f>IFERROR(ROUNDDOWN(MIN(IF(BA67&gt;0, BA67/D67, 1E99),IF(AZ67&gt;0, AZ67/MAX(D67-AQ67,1E-9), 1E99)),0),"")</f>
        <v>0</v>
      </c>
      <c r="BZ67" s="2">
        <f>IF(AND(ISNUMBER(D67),ISNUMBER(AT67)), D67*(1-AT67), "")</f>
        <v>0</v>
      </c>
      <c r="CA67">
        <f>AND(BT67=TRUE,BU67=TRUE,BV67=TRUE,BX67=TRUE)</f>
        <v>0</v>
      </c>
    </row>
    <row r="68" spans="1:79" x14ac:dyDescent="0.25">
      <c r="A68" t="s">
        <v>133</v>
      </c>
      <c r="B68">
        <f>HYPERLINK("data/charts/CEU_TO.png", "Open")</f>
        <v>0</v>
      </c>
      <c r="C68" t="s">
        <v>279</v>
      </c>
      <c r="D68">
        <v>7.74</v>
      </c>
      <c r="E68">
        <v>-24.12</v>
      </c>
      <c r="F68">
        <v>38.46</v>
      </c>
      <c r="G68">
        <v>-0.68</v>
      </c>
      <c r="H68">
        <v>7.79</v>
      </c>
      <c r="I68">
        <v>-0.0297</v>
      </c>
      <c r="J68" t="b">
        <v>0</v>
      </c>
      <c r="K68">
        <v>7.13</v>
      </c>
      <c r="L68">
        <v>7.47</v>
      </c>
      <c r="M68">
        <v>7.46</v>
      </c>
      <c r="N68">
        <v>7.2</v>
      </c>
      <c r="O68" t="b">
        <v>1</v>
      </c>
      <c r="P68" t="b">
        <v>1</v>
      </c>
      <c r="Q68" t="b">
        <v>1</v>
      </c>
      <c r="R68">
        <v>64.06</v>
      </c>
      <c r="S68" t="b">
        <v>0</v>
      </c>
      <c r="T68" t="b">
        <v>0</v>
      </c>
      <c r="U68">
        <v>0.168</v>
      </c>
      <c r="V68">
        <v>0.1417</v>
      </c>
      <c r="W68" t="b">
        <v>1</v>
      </c>
      <c r="X68" t="b">
        <v>0</v>
      </c>
      <c r="Y68">
        <v>610400</v>
      </c>
      <c r="Z68">
        <v>518595</v>
      </c>
      <c r="AA68" t="b">
        <v>0</v>
      </c>
      <c r="AB68">
        <v>7.47</v>
      </c>
      <c r="AC68">
        <v>7.88</v>
      </c>
      <c r="AD68">
        <v>7.07</v>
      </c>
      <c r="AE68">
        <v>0.827</v>
      </c>
      <c r="AF68">
        <v>0.108</v>
      </c>
      <c r="AG68">
        <v>7.93</v>
      </c>
      <c r="AH68">
        <v>7.04</v>
      </c>
      <c r="AI68" t="b">
        <v>0</v>
      </c>
      <c r="AJ68">
        <v>0.214</v>
      </c>
      <c r="AK68">
        <v>7.42</v>
      </c>
      <c r="AL68">
        <v>7.16</v>
      </c>
      <c r="AM68">
        <v>7.07</v>
      </c>
      <c r="AN68">
        <v>6.89</v>
      </c>
      <c r="AO68">
        <v>7.42</v>
      </c>
      <c r="AP68" t="s">
        <v>280</v>
      </c>
      <c r="AQ68">
        <v>6.89</v>
      </c>
      <c r="AR68">
        <v>8.51</v>
      </c>
      <c r="AS68">
        <v>0.05</v>
      </c>
      <c r="AT68">
        <v>0.07000000000000001</v>
      </c>
      <c r="AU68">
        <v>60</v>
      </c>
      <c r="AV68">
        <v>0.9058828661434929</v>
      </c>
      <c r="AW68">
        <v>4</v>
      </c>
      <c r="AX68">
        <v>6</v>
      </c>
      <c r="AY68">
        <v>1176</v>
      </c>
      <c r="AZ68">
        <v>1000</v>
      </c>
      <c r="BA68">
        <v>15000</v>
      </c>
      <c r="BD68">
        <v>9.67</v>
      </c>
      <c r="BE68">
        <v>8.6</v>
      </c>
      <c r="BF68">
        <v>2.2</v>
      </c>
      <c r="BG68">
        <v>0.18</v>
      </c>
      <c r="BH68">
        <v>0.6</v>
      </c>
      <c r="BI68">
        <v>-9.24</v>
      </c>
      <c r="BJ68">
        <v>15</v>
      </c>
      <c r="BK68">
        <v>9.029999999999999</v>
      </c>
      <c r="BM68">
        <v>1.27</v>
      </c>
      <c r="BN68" t="s">
        <v>284</v>
      </c>
      <c r="BO68" t="b">
        <v>0</v>
      </c>
      <c r="BP68" s="1">
        <f>IFERROR(RANK.EQ(AX68,AX$2:AX$213,0),"")</f>
        <v>0</v>
      </c>
      <c r="BQ68">
        <f>IFERROR(Y68/Z68,"")</f>
        <v>0</v>
      </c>
      <c r="BR68">
        <f>IFERROR(U68-V68,"")</f>
        <v>0</v>
      </c>
      <c r="BS68">
        <f>IFERROR(U68&gt;V68,"")</f>
        <v>0</v>
      </c>
      <c r="BT68">
        <f>IF(AND(ISNUMBER(D68),ISNUMBER(H68),D68&gt;=H68), OR(O68=TRUE,P68=TRUE), FALSE)</f>
        <v>0</v>
      </c>
      <c r="BU68">
        <f>AND(ISNUMBER(R68), R68&gt;=45, R68&lt;=60, W68=TRUE, E68&gt;=-20)</f>
        <v>0</v>
      </c>
      <c r="BV68">
        <f>OR(AI68=TRUE,AA68=TRUE)</f>
        <v>0</v>
      </c>
      <c r="BW68">
        <f>IFERROR( (AR68-D68) / MAX(D68-AQ68,1E-9) ,"")</f>
        <v>0</v>
      </c>
      <c r="BX68">
        <f>IFERROR(BW68&gt;=2, FALSE)</f>
        <v>0</v>
      </c>
      <c r="BY68" s="1">
        <f>IFERROR(ROUNDDOWN(MIN(IF(BA68&gt;0, BA68/D68, 1E99),IF(AZ68&gt;0, AZ68/MAX(D68-AQ68,1E-9), 1E99)),0),"")</f>
        <v>0</v>
      </c>
      <c r="BZ68" s="2">
        <f>IF(AND(ISNUMBER(D68),ISNUMBER(AT68)), D68*(1-AT68), "")</f>
        <v>0</v>
      </c>
      <c r="CA68">
        <f>AND(BT68=TRUE,BU68=TRUE,BV68=TRUE,BX68=TRUE)</f>
        <v>0</v>
      </c>
    </row>
    <row r="69" spans="1:79" x14ac:dyDescent="0.25">
      <c r="A69" t="s">
        <v>134</v>
      </c>
      <c r="B69">
        <f>HYPERLINK("data/charts/NVR.png", "Open")</f>
        <v>0</v>
      </c>
      <c r="C69" t="s">
        <v>279</v>
      </c>
      <c r="D69">
        <v>8235</v>
      </c>
      <c r="E69">
        <v>-17.36</v>
      </c>
      <c r="F69">
        <v>25.48</v>
      </c>
      <c r="G69">
        <v>5.83</v>
      </c>
      <c r="H69">
        <v>7781.21</v>
      </c>
      <c r="I69">
        <v>-0.121</v>
      </c>
      <c r="J69" t="b">
        <v>0</v>
      </c>
      <c r="K69">
        <v>7569.35</v>
      </c>
      <c r="L69">
        <v>7860.04</v>
      </c>
      <c r="M69">
        <v>7866.78</v>
      </c>
      <c r="N69">
        <v>7651.37</v>
      </c>
      <c r="O69" t="b">
        <v>1</v>
      </c>
      <c r="P69" t="b">
        <v>1</v>
      </c>
      <c r="Q69" t="b">
        <v>1</v>
      </c>
      <c r="R69">
        <v>65.53</v>
      </c>
      <c r="S69" t="b">
        <v>0</v>
      </c>
      <c r="T69" t="b">
        <v>0</v>
      </c>
      <c r="U69">
        <v>164.9226</v>
      </c>
      <c r="V69">
        <v>128.7645</v>
      </c>
      <c r="W69" t="b">
        <v>1</v>
      </c>
      <c r="X69" t="b">
        <v>1</v>
      </c>
      <c r="Y69">
        <v>14900</v>
      </c>
      <c r="Z69">
        <v>16660</v>
      </c>
      <c r="AA69" t="b">
        <v>0</v>
      </c>
      <c r="AB69">
        <v>7860.04</v>
      </c>
      <c r="AC69">
        <v>8277.43</v>
      </c>
      <c r="AD69">
        <v>7442.65</v>
      </c>
      <c r="AE69">
        <v>0.949</v>
      </c>
      <c r="AF69">
        <v>0.106</v>
      </c>
      <c r="AG69">
        <v>8337.9</v>
      </c>
      <c r="AH69">
        <v>7371.39</v>
      </c>
      <c r="AI69" t="b">
        <v>0</v>
      </c>
      <c r="AJ69">
        <v>166.152</v>
      </c>
      <c r="AK69">
        <v>7985.77</v>
      </c>
      <c r="AL69">
        <v>7695.32</v>
      </c>
      <c r="AM69">
        <v>7442.65</v>
      </c>
      <c r="AN69">
        <v>7329.15</v>
      </c>
      <c r="AO69">
        <v>7985.77</v>
      </c>
      <c r="AP69" t="s">
        <v>280</v>
      </c>
      <c r="AQ69">
        <v>7329.15</v>
      </c>
      <c r="AR69">
        <v>9058.5</v>
      </c>
      <c r="AS69">
        <v>0.05</v>
      </c>
      <c r="AT69">
        <v>0.07000000000000001</v>
      </c>
      <c r="AU69">
        <v>60</v>
      </c>
      <c r="AV69">
        <v>0.9090909090909087</v>
      </c>
      <c r="AW69">
        <v>4</v>
      </c>
      <c r="AX69">
        <v>6</v>
      </c>
      <c r="AY69">
        <v>1</v>
      </c>
      <c r="AZ69">
        <v>1000</v>
      </c>
      <c r="BA69">
        <v>15000</v>
      </c>
      <c r="BD69">
        <v>17.42</v>
      </c>
      <c r="BE69">
        <v>15.9</v>
      </c>
      <c r="BG69">
        <v>0</v>
      </c>
      <c r="BH69">
        <v>0.27</v>
      </c>
      <c r="BI69">
        <v>8.16</v>
      </c>
      <c r="BJ69">
        <v>14.05</v>
      </c>
      <c r="BK69">
        <v>12.82</v>
      </c>
      <c r="BM69">
        <v>-1.04</v>
      </c>
      <c r="BN69" t="s">
        <v>285</v>
      </c>
      <c r="BO69" t="b">
        <v>0</v>
      </c>
      <c r="BP69" s="1">
        <f>IFERROR(RANK.EQ(AX69,AX$2:AX$213,0),"")</f>
        <v>0</v>
      </c>
      <c r="BQ69">
        <f>IFERROR(Y69/Z69,"")</f>
        <v>0</v>
      </c>
      <c r="BR69">
        <f>IFERROR(U69-V69,"")</f>
        <v>0</v>
      </c>
      <c r="BS69">
        <f>IFERROR(U69&gt;V69,"")</f>
        <v>0</v>
      </c>
      <c r="BT69">
        <f>IF(AND(ISNUMBER(D69),ISNUMBER(H69),D69&gt;=H69), OR(O69=TRUE,P69=TRUE), FALSE)</f>
        <v>0</v>
      </c>
      <c r="BU69">
        <f>AND(ISNUMBER(R69), R69&gt;=45, R69&lt;=60, W69=TRUE, E69&gt;=-20)</f>
        <v>0</v>
      </c>
      <c r="BV69">
        <f>OR(AI69=TRUE,AA69=TRUE)</f>
        <v>0</v>
      </c>
      <c r="BW69">
        <f>IFERROR( (AR69-D69) / MAX(D69-AQ69,1E-9) ,"")</f>
        <v>0</v>
      </c>
      <c r="BX69">
        <f>IFERROR(BW69&gt;=2, FALSE)</f>
        <v>0</v>
      </c>
      <c r="BY69" s="1">
        <f>IFERROR(ROUNDDOWN(MIN(IF(BA69&gt;0, BA69/D69, 1E99),IF(AZ69&gt;0, AZ69/MAX(D69-AQ69,1E-9), 1E99)),0),"")</f>
        <v>0</v>
      </c>
      <c r="BZ69" s="2">
        <f>IF(AND(ISNUMBER(D69),ISNUMBER(AT69)), D69*(1-AT69), "")</f>
        <v>0</v>
      </c>
      <c r="CA69">
        <f>AND(BT69=TRUE,BU69=TRUE,BV69=TRUE,BX69=TRUE)</f>
        <v>0</v>
      </c>
    </row>
    <row r="70" spans="1:79" x14ac:dyDescent="0.25">
      <c r="A70" t="s">
        <v>135</v>
      </c>
      <c r="B70">
        <f>HYPERLINK("data/charts/HBM_TO.png", "Open")</f>
        <v>0</v>
      </c>
      <c r="C70" t="s">
        <v>279</v>
      </c>
      <c r="D70">
        <v>15.23</v>
      </c>
      <c r="E70">
        <v>-8.75</v>
      </c>
      <c r="F70">
        <v>79.39</v>
      </c>
      <c r="G70">
        <v>25.19</v>
      </c>
      <c r="H70">
        <v>12.17</v>
      </c>
      <c r="I70">
        <v>0.0989</v>
      </c>
      <c r="J70" t="b">
        <v>1</v>
      </c>
      <c r="K70">
        <v>13.74</v>
      </c>
      <c r="L70">
        <v>13.56</v>
      </c>
      <c r="M70">
        <v>13.83</v>
      </c>
      <c r="N70">
        <v>13.45</v>
      </c>
      <c r="O70" t="b">
        <v>1</v>
      </c>
      <c r="P70" t="b">
        <v>1</v>
      </c>
      <c r="Q70" t="b">
        <v>1</v>
      </c>
      <c r="R70">
        <v>66.34</v>
      </c>
      <c r="S70" t="b">
        <v>0</v>
      </c>
      <c r="T70" t="b">
        <v>0</v>
      </c>
      <c r="U70">
        <v>0.2656</v>
      </c>
      <c r="V70">
        <v>0.0016</v>
      </c>
      <c r="W70" t="b">
        <v>1</v>
      </c>
      <c r="X70" t="b">
        <v>1</v>
      </c>
      <c r="Y70">
        <v>1302200</v>
      </c>
      <c r="Z70">
        <v>2077555</v>
      </c>
      <c r="AA70" t="b">
        <v>0</v>
      </c>
      <c r="AB70">
        <v>13.56</v>
      </c>
      <c r="AC70">
        <v>15.27</v>
      </c>
      <c r="AD70">
        <v>11.86</v>
      </c>
      <c r="AE70">
        <v>0.988</v>
      </c>
      <c r="AF70">
        <v>0.252</v>
      </c>
      <c r="AG70">
        <v>16.69</v>
      </c>
      <c r="AH70">
        <v>12.35</v>
      </c>
      <c r="AI70" t="b">
        <v>0</v>
      </c>
      <c r="AJ70">
        <v>0.536</v>
      </c>
      <c r="AK70">
        <v>14.43</v>
      </c>
      <c r="AL70">
        <v>12.44</v>
      </c>
      <c r="AM70">
        <v>11.86</v>
      </c>
      <c r="AN70">
        <v>13.55</v>
      </c>
      <c r="AO70">
        <v>14.43</v>
      </c>
      <c r="AP70" t="s">
        <v>280</v>
      </c>
      <c r="AQ70">
        <v>13.55</v>
      </c>
      <c r="AR70">
        <v>16.75</v>
      </c>
      <c r="AS70">
        <v>0.05</v>
      </c>
      <c r="AT70">
        <v>0.07000000000000001</v>
      </c>
      <c r="AU70">
        <v>60</v>
      </c>
      <c r="AV70">
        <v>0.9047624237684773</v>
      </c>
      <c r="AW70">
        <v>4</v>
      </c>
      <c r="AX70">
        <v>6</v>
      </c>
      <c r="AY70">
        <v>595</v>
      </c>
      <c r="AZ70">
        <v>1000</v>
      </c>
      <c r="BA70">
        <v>15000</v>
      </c>
      <c r="BD70">
        <v>15.23</v>
      </c>
      <c r="BE70">
        <v>11.81</v>
      </c>
      <c r="BF70">
        <v>13</v>
      </c>
      <c r="BG70">
        <v>0.02</v>
      </c>
      <c r="BH70">
        <v>0.4</v>
      </c>
      <c r="BI70">
        <v>-9.83</v>
      </c>
      <c r="BJ70">
        <v>20</v>
      </c>
      <c r="BK70">
        <v>21.94</v>
      </c>
      <c r="BM70">
        <v>0.14</v>
      </c>
      <c r="BN70" t="s">
        <v>312</v>
      </c>
      <c r="BO70" t="b">
        <v>0</v>
      </c>
      <c r="BP70" s="1">
        <f>IFERROR(RANK.EQ(AX70,AX$2:AX$213,0),"")</f>
        <v>0</v>
      </c>
      <c r="BQ70">
        <f>IFERROR(Y70/Z70,"")</f>
        <v>0</v>
      </c>
      <c r="BR70">
        <f>IFERROR(U70-V70,"")</f>
        <v>0</v>
      </c>
      <c r="BS70">
        <f>IFERROR(U70&gt;V70,"")</f>
        <v>0</v>
      </c>
      <c r="BT70">
        <f>IF(AND(ISNUMBER(D70),ISNUMBER(H70),D70&gt;=H70), OR(O70=TRUE,P70=TRUE), FALSE)</f>
        <v>0</v>
      </c>
      <c r="BU70">
        <f>AND(ISNUMBER(R70), R70&gt;=45, R70&lt;=60, W70=TRUE, E70&gt;=-20)</f>
        <v>0</v>
      </c>
      <c r="BV70">
        <f>OR(AI70=TRUE,AA70=TRUE)</f>
        <v>0</v>
      </c>
      <c r="BW70">
        <f>IFERROR( (AR70-D70) / MAX(D70-AQ70,1E-9) ,"")</f>
        <v>0</v>
      </c>
      <c r="BX70">
        <f>IFERROR(BW70&gt;=2, FALSE)</f>
        <v>0</v>
      </c>
      <c r="BY70" s="1">
        <f>IFERROR(ROUNDDOWN(MIN(IF(BA70&gt;0, BA70/D70, 1E99),IF(AZ70&gt;0, AZ70/MAX(D70-AQ70,1E-9), 1E99)),0),"")</f>
        <v>0</v>
      </c>
      <c r="BZ70" s="2">
        <f>IF(AND(ISNUMBER(D70),ISNUMBER(AT70)), D70*(1-AT70), "")</f>
        <v>0</v>
      </c>
      <c r="CA70">
        <f>AND(BT70=TRUE,BU70=TRUE,BV70=TRUE,BX70=TRUE)</f>
        <v>0</v>
      </c>
    </row>
    <row r="71" spans="1:79" x14ac:dyDescent="0.25">
      <c r="A71" t="s">
        <v>136</v>
      </c>
      <c r="B71">
        <f>HYPERLINK("data/charts/DPM_TO.png", "Open")</f>
        <v>0</v>
      </c>
      <c r="C71" t="s">
        <v>279</v>
      </c>
      <c r="D71">
        <v>24.66</v>
      </c>
      <c r="E71">
        <v>0</v>
      </c>
      <c r="F71">
        <v>100.49</v>
      </c>
      <c r="G71">
        <v>39.1</v>
      </c>
      <c r="H71">
        <v>17.73</v>
      </c>
      <c r="I71">
        <v>0.2461</v>
      </c>
      <c r="J71" t="b">
        <v>1</v>
      </c>
      <c r="K71">
        <v>22.29</v>
      </c>
      <c r="L71">
        <v>23.48</v>
      </c>
      <c r="M71">
        <v>23.46</v>
      </c>
      <c r="N71">
        <v>22.43</v>
      </c>
      <c r="O71" t="b">
        <v>1</v>
      </c>
      <c r="P71" t="b">
        <v>1</v>
      </c>
      <c r="Q71" t="b">
        <v>1</v>
      </c>
      <c r="R71">
        <v>67.09999999999999</v>
      </c>
      <c r="S71" t="b">
        <v>0</v>
      </c>
      <c r="T71" t="b">
        <v>0</v>
      </c>
      <c r="U71">
        <v>0.5855</v>
      </c>
      <c r="V71">
        <v>0.5363</v>
      </c>
      <c r="W71" t="b">
        <v>0</v>
      </c>
      <c r="X71" t="b">
        <v>1</v>
      </c>
      <c r="Y71">
        <v>695400</v>
      </c>
      <c r="Z71">
        <v>651715</v>
      </c>
      <c r="AA71" t="b">
        <v>0</v>
      </c>
      <c r="AB71">
        <v>23.48</v>
      </c>
      <c r="AC71">
        <v>24.75</v>
      </c>
      <c r="AD71">
        <v>22.22</v>
      </c>
      <c r="AE71">
        <v>0.963</v>
      </c>
      <c r="AF71">
        <v>0.108</v>
      </c>
      <c r="AG71">
        <v>24.66</v>
      </c>
      <c r="AH71">
        <v>21.9</v>
      </c>
      <c r="AI71" t="b">
        <v>1</v>
      </c>
      <c r="AJ71">
        <v>0.616</v>
      </c>
      <c r="AK71">
        <v>23.74</v>
      </c>
      <c r="AL71">
        <v>23.44</v>
      </c>
      <c r="AM71">
        <v>22.22</v>
      </c>
      <c r="AN71">
        <v>21.95</v>
      </c>
      <c r="AO71">
        <v>23.74</v>
      </c>
      <c r="AP71" t="s">
        <v>280</v>
      </c>
      <c r="AQ71">
        <v>21.95</v>
      </c>
      <c r="AR71">
        <v>27.13</v>
      </c>
      <c r="AS71">
        <v>0.05</v>
      </c>
      <c r="AT71">
        <v>0.07000000000000001</v>
      </c>
      <c r="AU71">
        <v>60</v>
      </c>
      <c r="AV71">
        <v>0.9114392220156743</v>
      </c>
      <c r="AW71">
        <v>4</v>
      </c>
      <c r="AX71">
        <v>6</v>
      </c>
      <c r="AY71">
        <v>369</v>
      </c>
      <c r="AZ71">
        <v>1000</v>
      </c>
      <c r="BA71">
        <v>15000</v>
      </c>
      <c r="BD71">
        <v>12.65</v>
      </c>
      <c r="BE71">
        <v>11.16</v>
      </c>
      <c r="BF71">
        <v>90</v>
      </c>
      <c r="BG71">
        <v>0.11</v>
      </c>
      <c r="BI71">
        <v>29.37</v>
      </c>
      <c r="BJ71">
        <v>157.89</v>
      </c>
      <c r="BK71">
        <v>44.18</v>
      </c>
      <c r="BM71">
        <v>0.4</v>
      </c>
      <c r="BN71" t="s">
        <v>313</v>
      </c>
      <c r="BO71" t="b">
        <v>0</v>
      </c>
      <c r="BP71" s="1">
        <f>IFERROR(RANK.EQ(AX71,AX$2:AX$213,0),"")</f>
        <v>0</v>
      </c>
      <c r="BQ71">
        <f>IFERROR(Y71/Z71,"")</f>
        <v>0</v>
      </c>
      <c r="BR71">
        <f>IFERROR(U71-V71,"")</f>
        <v>0</v>
      </c>
      <c r="BS71">
        <f>IFERROR(U71&gt;V71,"")</f>
        <v>0</v>
      </c>
      <c r="BT71">
        <f>IF(AND(ISNUMBER(D71),ISNUMBER(H71),D71&gt;=H71), OR(O71=TRUE,P71=TRUE), FALSE)</f>
        <v>0</v>
      </c>
      <c r="BU71">
        <f>AND(ISNUMBER(R71), R71&gt;=45, R71&lt;=60, W71=TRUE, E71&gt;=-20)</f>
        <v>0</v>
      </c>
      <c r="BV71">
        <f>OR(AI71=TRUE,AA71=TRUE)</f>
        <v>0</v>
      </c>
      <c r="BW71">
        <f>IFERROR( (AR71-D71) / MAX(D71-AQ71,1E-9) ,"")</f>
        <v>0</v>
      </c>
      <c r="BX71">
        <f>IFERROR(BW71&gt;=2, FALSE)</f>
        <v>0</v>
      </c>
      <c r="BY71" s="1">
        <f>IFERROR(ROUNDDOWN(MIN(IF(BA71&gt;0, BA71/D71, 1E99),IF(AZ71&gt;0, AZ71/MAX(D71-AQ71,1E-9), 1E99)),0),"")</f>
        <v>0</v>
      </c>
      <c r="BZ71" s="2">
        <f>IF(AND(ISNUMBER(D71),ISNUMBER(AT71)), D71*(1-AT71), "")</f>
        <v>0</v>
      </c>
      <c r="CA71">
        <f>AND(BT71=TRUE,BU71=TRUE,BV71=TRUE,BX71=TRUE)</f>
        <v>0</v>
      </c>
    </row>
    <row r="72" spans="1:79" x14ac:dyDescent="0.25">
      <c r="A72" t="s">
        <v>137</v>
      </c>
      <c r="B72">
        <f>HYPERLINK("data/charts/MG_TO.png", "Open")</f>
        <v>0</v>
      </c>
      <c r="C72" t="s">
        <v>279</v>
      </c>
      <c r="D72">
        <v>61.2</v>
      </c>
      <c r="E72">
        <v>-7.86</v>
      </c>
      <c r="F72">
        <v>41.5</v>
      </c>
      <c r="G72">
        <v>11.21</v>
      </c>
      <c r="H72">
        <v>55.03</v>
      </c>
      <c r="I72">
        <v>-0.0009</v>
      </c>
      <c r="J72" t="b">
        <v>0</v>
      </c>
      <c r="K72">
        <v>55.65</v>
      </c>
      <c r="L72">
        <v>58.45</v>
      </c>
      <c r="M72">
        <v>58.6</v>
      </c>
      <c r="N72">
        <v>56.22</v>
      </c>
      <c r="O72" t="b">
        <v>1</v>
      </c>
      <c r="P72" t="b">
        <v>1</v>
      </c>
      <c r="Q72" t="b">
        <v>1</v>
      </c>
      <c r="R72">
        <v>67.69</v>
      </c>
      <c r="S72" t="b">
        <v>0</v>
      </c>
      <c r="T72" t="b">
        <v>0</v>
      </c>
      <c r="U72">
        <v>1.4451</v>
      </c>
      <c r="V72">
        <v>1.1907</v>
      </c>
      <c r="W72" t="b">
        <v>1</v>
      </c>
      <c r="X72" t="b">
        <v>1</v>
      </c>
      <c r="Y72">
        <v>762800</v>
      </c>
      <c r="Z72">
        <v>917850</v>
      </c>
      <c r="AA72" t="b">
        <v>0</v>
      </c>
      <c r="AB72">
        <v>58.45</v>
      </c>
      <c r="AC72">
        <v>61.77</v>
      </c>
      <c r="AD72">
        <v>55.13</v>
      </c>
      <c r="AE72">
        <v>0.914</v>
      </c>
      <c r="AF72">
        <v>0.114</v>
      </c>
      <c r="AG72">
        <v>62.43</v>
      </c>
      <c r="AH72">
        <v>56.04</v>
      </c>
      <c r="AI72" t="b">
        <v>0</v>
      </c>
      <c r="AJ72">
        <v>1.231</v>
      </c>
      <c r="AK72">
        <v>59.35</v>
      </c>
      <c r="AL72">
        <v>56.04</v>
      </c>
      <c r="AM72">
        <v>55.13</v>
      </c>
      <c r="AN72">
        <v>54.47</v>
      </c>
      <c r="AO72">
        <v>59.35</v>
      </c>
      <c r="AP72" t="s">
        <v>280</v>
      </c>
      <c r="AQ72">
        <v>54.47</v>
      </c>
      <c r="AR72">
        <v>67.31999999999999</v>
      </c>
      <c r="AS72">
        <v>0.05</v>
      </c>
      <c r="AT72">
        <v>0.07000000000000001</v>
      </c>
      <c r="AU72">
        <v>60</v>
      </c>
      <c r="AV72">
        <v>0.9093608533838435</v>
      </c>
      <c r="AW72">
        <v>4</v>
      </c>
      <c r="AX72">
        <v>6</v>
      </c>
      <c r="AY72">
        <v>148</v>
      </c>
      <c r="AZ72">
        <v>1000</v>
      </c>
      <c r="BA72">
        <v>15000</v>
      </c>
      <c r="BD72">
        <v>10.44</v>
      </c>
      <c r="BE72">
        <v>7.3</v>
      </c>
      <c r="BF72">
        <v>4.38</v>
      </c>
      <c r="BG72">
        <v>0.45</v>
      </c>
      <c r="BH72">
        <v>0.63</v>
      </c>
      <c r="BI72">
        <v>5.58</v>
      </c>
      <c r="BJ72">
        <v>159.59</v>
      </c>
      <c r="BK72">
        <v>3.57</v>
      </c>
      <c r="BM72">
        <v>0.49</v>
      </c>
      <c r="BN72" t="s">
        <v>299</v>
      </c>
      <c r="BO72" t="b">
        <v>0</v>
      </c>
      <c r="BP72" s="1">
        <f>IFERROR(RANK.EQ(AX72,AX$2:AX$213,0),"")</f>
        <v>0</v>
      </c>
      <c r="BQ72">
        <f>IFERROR(Y72/Z72,"")</f>
        <v>0</v>
      </c>
      <c r="BR72">
        <f>IFERROR(U72-V72,"")</f>
        <v>0</v>
      </c>
      <c r="BS72">
        <f>IFERROR(U72&gt;V72,"")</f>
        <v>0</v>
      </c>
      <c r="BT72">
        <f>IF(AND(ISNUMBER(D72),ISNUMBER(H72),D72&gt;=H72), OR(O72=TRUE,P72=TRUE), FALSE)</f>
        <v>0</v>
      </c>
      <c r="BU72">
        <f>AND(ISNUMBER(R72), R72&gt;=45, R72&lt;=60, W72=TRUE, E72&gt;=-20)</f>
        <v>0</v>
      </c>
      <c r="BV72">
        <f>OR(AI72=TRUE,AA72=TRUE)</f>
        <v>0</v>
      </c>
      <c r="BW72">
        <f>IFERROR( (AR72-D72) / MAX(D72-AQ72,1E-9) ,"")</f>
        <v>0</v>
      </c>
      <c r="BX72">
        <f>IFERROR(BW72&gt;=2, FALSE)</f>
        <v>0</v>
      </c>
      <c r="BY72" s="1">
        <f>IFERROR(ROUNDDOWN(MIN(IF(BA72&gt;0, BA72/D72, 1E99),IF(AZ72&gt;0, AZ72/MAX(D72-AQ72,1E-9), 1E99)),0),"")</f>
        <v>0</v>
      </c>
      <c r="BZ72" s="2">
        <f>IF(AND(ISNUMBER(D72),ISNUMBER(AT72)), D72*(1-AT72), "")</f>
        <v>0</v>
      </c>
      <c r="CA72">
        <f>AND(BT72=TRUE,BU72=TRUE,BV72=TRUE,BX72=TRUE)</f>
        <v>0</v>
      </c>
    </row>
    <row r="73" spans="1:79" x14ac:dyDescent="0.25">
      <c r="A73" t="s">
        <v>138</v>
      </c>
      <c r="B73">
        <f>HYPERLINK("data/charts/CM_TO.png", "Open")</f>
        <v>0</v>
      </c>
      <c r="C73" t="s">
        <v>279</v>
      </c>
      <c r="D73">
        <v>101.99</v>
      </c>
      <c r="E73">
        <v>-0.45</v>
      </c>
      <c r="F73">
        <v>44.36</v>
      </c>
      <c r="G73">
        <v>12.66</v>
      </c>
      <c r="H73">
        <v>90.53</v>
      </c>
      <c r="I73">
        <v>0.0887</v>
      </c>
      <c r="J73" t="b">
        <v>1</v>
      </c>
      <c r="K73">
        <v>97.93000000000001</v>
      </c>
      <c r="L73">
        <v>100.41</v>
      </c>
      <c r="M73">
        <v>100.09</v>
      </c>
      <c r="N73">
        <v>97.79000000000001</v>
      </c>
      <c r="O73" t="b">
        <v>1</v>
      </c>
      <c r="P73" t="b">
        <v>1</v>
      </c>
      <c r="Q73" t="b">
        <v>1</v>
      </c>
      <c r="R73">
        <v>67.78</v>
      </c>
      <c r="S73" t="b">
        <v>0</v>
      </c>
      <c r="T73" t="b">
        <v>0</v>
      </c>
      <c r="U73">
        <v>0.8711</v>
      </c>
      <c r="V73">
        <v>0.8379</v>
      </c>
      <c r="W73" t="b">
        <v>1</v>
      </c>
      <c r="X73" t="b">
        <v>1</v>
      </c>
      <c r="Y73">
        <v>1817500</v>
      </c>
      <c r="Z73">
        <v>2378065</v>
      </c>
      <c r="AA73" t="b">
        <v>0</v>
      </c>
      <c r="AB73">
        <v>100.41</v>
      </c>
      <c r="AC73">
        <v>102.3</v>
      </c>
      <c r="AD73">
        <v>98.52</v>
      </c>
      <c r="AE73">
        <v>0.918</v>
      </c>
      <c r="AF73">
        <v>0.038</v>
      </c>
      <c r="AG73">
        <v>102.45</v>
      </c>
      <c r="AH73">
        <v>97.81</v>
      </c>
      <c r="AI73" t="b">
        <v>0</v>
      </c>
      <c r="AJ73">
        <v>1.101</v>
      </c>
      <c r="AK73">
        <v>100.34</v>
      </c>
      <c r="AL73">
        <v>98.8</v>
      </c>
      <c r="AM73">
        <v>98.52</v>
      </c>
      <c r="AN73">
        <v>90.77</v>
      </c>
      <c r="AO73">
        <v>100.34</v>
      </c>
      <c r="AP73" t="s">
        <v>280</v>
      </c>
      <c r="AQ73">
        <v>90.77</v>
      </c>
      <c r="AR73">
        <v>112.19</v>
      </c>
      <c r="AS73">
        <v>0.05</v>
      </c>
      <c r="AT73">
        <v>0.07000000000000001</v>
      </c>
      <c r="AU73">
        <v>60</v>
      </c>
      <c r="AV73">
        <v>0.9090912725720979</v>
      </c>
      <c r="AW73">
        <v>4</v>
      </c>
      <c r="AX73">
        <v>6</v>
      </c>
      <c r="AY73">
        <v>89</v>
      </c>
      <c r="AZ73">
        <v>1000</v>
      </c>
      <c r="BA73">
        <v>15000</v>
      </c>
      <c r="BD73">
        <v>12.81</v>
      </c>
      <c r="BE73">
        <v>13.56</v>
      </c>
      <c r="BF73">
        <v>3.8</v>
      </c>
      <c r="BG73">
        <v>0.47</v>
      </c>
      <c r="BH73">
        <v>3.48</v>
      </c>
      <c r="BI73">
        <v>-3.67</v>
      </c>
      <c r="BJ73">
        <v>-6.82</v>
      </c>
      <c r="BK73">
        <v>28.6</v>
      </c>
      <c r="BM73">
        <v>0.86</v>
      </c>
      <c r="BN73" t="s">
        <v>291</v>
      </c>
      <c r="BO73" t="b">
        <v>0</v>
      </c>
      <c r="BP73" s="1">
        <f>IFERROR(RANK.EQ(AX73,AX$2:AX$213,0),"")</f>
        <v>0</v>
      </c>
      <c r="BQ73">
        <f>IFERROR(Y73/Z73,"")</f>
        <v>0</v>
      </c>
      <c r="BR73">
        <f>IFERROR(U73-V73,"")</f>
        <v>0</v>
      </c>
      <c r="BS73">
        <f>IFERROR(U73&gt;V73,"")</f>
        <v>0</v>
      </c>
      <c r="BT73">
        <f>IF(AND(ISNUMBER(D73),ISNUMBER(H73),D73&gt;=H73), OR(O73=TRUE,P73=TRUE), FALSE)</f>
        <v>0</v>
      </c>
      <c r="BU73">
        <f>AND(ISNUMBER(R73), R73&gt;=45, R73&lt;=60, W73=TRUE, E73&gt;=-20)</f>
        <v>0</v>
      </c>
      <c r="BV73">
        <f>OR(AI73=TRUE,AA73=TRUE)</f>
        <v>0</v>
      </c>
      <c r="BW73">
        <f>IFERROR( (AR73-D73) / MAX(D73-AQ73,1E-9) ,"")</f>
        <v>0</v>
      </c>
      <c r="BX73">
        <f>IFERROR(BW73&gt;=2, FALSE)</f>
        <v>0</v>
      </c>
      <c r="BY73" s="1">
        <f>IFERROR(ROUNDDOWN(MIN(IF(BA73&gt;0, BA73/D73, 1E99),IF(AZ73&gt;0, AZ73/MAX(D73-AQ73,1E-9), 1E99)),0),"")</f>
        <v>0</v>
      </c>
      <c r="BZ73" s="2">
        <f>IF(AND(ISNUMBER(D73),ISNUMBER(AT73)), D73*(1-AT73), "")</f>
        <v>0</v>
      </c>
      <c r="CA73">
        <f>AND(BT73=TRUE,BU73=TRUE,BV73=TRUE,BX73=TRUE)</f>
        <v>0</v>
      </c>
    </row>
    <row r="74" spans="1:79" x14ac:dyDescent="0.25">
      <c r="A74" t="s">
        <v>139</v>
      </c>
      <c r="B74">
        <f>HYPERLINK("data/charts/SSRM_TO.png", "Open")</f>
        <v>0</v>
      </c>
      <c r="C74" t="s">
        <v>279</v>
      </c>
      <c r="D74">
        <v>23.17</v>
      </c>
      <c r="E74">
        <v>-0.04</v>
      </c>
      <c r="F74">
        <v>254.82</v>
      </c>
      <c r="G74">
        <v>67.14</v>
      </c>
      <c r="H74">
        <v>13.86</v>
      </c>
      <c r="I74">
        <v>0.3545</v>
      </c>
      <c r="J74" t="b">
        <v>1</v>
      </c>
      <c r="K74">
        <v>17.98</v>
      </c>
      <c r="L74">
        <v>18.89</v>
      </c>
      <c r="M74">
        <v>19.66</v>
      </c>
      <c r="N74">
        <v>18.18</v>
      </c>
      <c r="O74" t="b">
        <v>1</v>
      </c>
      <c r="P74" t="b">
        <v>1</v>
      </c>
      <c r="Q74" t="b">
        <v>1</v>
      </c>
      <c r="R74">
        <v>77.20999999999999</v>
      </c>
      <c r="S74" t="b">
        <v>0</v>
      </c>
      <c r="T74" t="b">
        <v>0</v>
      </c>
      <c r="U74">
        <v>1.4544</v>
      </c>
      <c r="V74">
        <v>0.92</v>
      </c>
      <c r="W74" t="b">
        <v>0</v>
      </c>
      <c r="X74" t="b">
        <v>1</v>
      </c>
      <c r="Y74">
        <v>461400</v>
      </c>
      <c r="Z74">
        <v>446905</v>
      </c>
      <c r="AA74" t="b">
        <v>0</v>
      </c>
      <c r="AB74">
        <v>18.89</v>
      </c>
      <c r="AC74">
        <v>23.72</v>
      </c>
      <c r="AD74">
        <v>14.05</v>
      </c>
      <c r="AE74">
        <v>0.9429999999999999</v>
      </c>
      <c r="AF74">
        <v>0.512</v>
      </c>
      <c r="AG74">
        <v>23.18</v>
      </c>
      <c r="AH74">
        <v>16.06</v>
      </c>
      <c r="AI74" t="b">
        <v>1</v>
      </c>
      <c r="AJ74">
        <v>0.773</v>
      </c>
      <c r="AK74">
        <v>22.01</v>
      </c>
      <c r="AL74">
        <v>16.36</v>
      </c>
      <c r="AM74">
        <v>14.05</v>
      </c>
      <c r="AN74">
        <v>20.62</v>
      </c>
      <c r="AO74">
        <v>22.01</v>
      </c>
      <c r="AP74" t="s">
        <v>280</v>
      </c>
      <c r="AQ74">
        <v>20.62</v>
      </c>
      <c r="AR74">
        <v>25.49</v>
      </c>
      <c r="AS74">
        <v>0.05</v>
      </c>
      <c r="AT74">
        <v>0.07000000000000001</v>
      </c>
      <c r="AU74">
        <v>60</v>
      </c>
      <c r="AV74">
        <v>0.9098038644288344</v>
      </c>
      <c r="AW74">
        <v>4</v>
      </c>
      <c r="AX74">
        <v>6</v>
      </c>
      <c r="AY74">
        <v>392</v>
      </c>
      <c r="AZ74">
        <v>1000</v>
      </c>
      <c r="BA74">
        <v>15000</v>
      </c>
      <c r="BD74">
        <v>21.65</v>
      </c>
      <c r="BE74">
        <v>26.33</v>
      </c>
      <c r="BG74">
        <v>0</v>
      </c>
      <c r="BH74">
        <v>0.09</v>
      </c>
      <c r="BI74">
        <v>28.06</v>
      </c>
      <c r="BJ74">
        <v>51.72</v>
      </c>
      <c r="BK74">
        <v>22.22</v>
      </c>
      <c r="BM74">
        <v>0.03</v>
      </c>
      <c r="BN74" t="s">
        <v>285</v>
      </c>
      <c r="BO74" t="b">
        <v>0</v>
      </c>
      <c r="BP74" s="1">
        <f>IFERROR(RANK.EQ(AX74,AX$2:AX$213,0),"")</f>
        <v>0</v>
      </c>
      <c r="BQ74">
        <f>IFERROR(Y74/Z74,"")</f>
        <v>0</v>
      </c>
      <c r="BR74">
        <f>IFERROR(U74-V74,"")</f>
        <v>0</v>
      </c>
      <c r="BS74">
        <f>IFERROR(U74&gt;V74,"")</f>
        <v>0</v>
      </c>
      <c r="BT74">
        <f>IF(AND(ISNUMBER(D74),ISNUMBER(H74),D74&gt;=H74), OR(O74=TRUE,P74=TRUE), FALSE)</f>
        <v>0</v>
      </c>
      <c r="BU74">
        <f>AND(ISNUMBER(R74), R74&gt;=45, R74&lt;=60, W74=TRUE, E74&gt;=-20)</f>
        <v>0</v>
      </c>
      <c r="BV74">
        <f>OR(AI74=TRUE,AA74=TRUE)</f>
        <v>0</v>
      </c>
      <c r="BW74">
        <f>IFERROR( (AR74-D74) / MAX(D74-AQ74,1E-9) ,"")</f>
        <v>0</v>
      </c>
      <c r="BX74">
        <f>IFERROR(BW74&gt;=2, FALSE)</f>
        <v>0</v>
      </c>
      <c r="BY74" s="1">
        <f>IFERROR(ROUNDDOWN(MIN(IF(BA74&gt;0, BA74/D74, 1E99),IF(AZ74&gt;0, AZ74/MAX(D74-AQ74,1E-9), 1E99)),0),"")</f>
        <v>0</v>
      </c>
      <c r="BZ74" s="2">
        <f>IF(AND(ISNUMBER(D74),ISNUMBER(AT74)), D74*(1-AT74), "")</f>
        <v>0</v>
      </c>
      <c r="CA74">
        <f>AND(BT74=TRUE,BU74=TRUE,BV74=TRUE,BX74=TRUE)</f>
        <v>0</v>
      </c>
    </row>
    <row r="75" spans="1:79" x14ac:dyDescent="0.25">
      <c r="A75" t="s">
        <v>140</v>
      </c>
      <c r="B75">
        <f>HYPERLINK("data/charts/INCY.png", "Open")</f>
        <v>0</v>
      </c>
      <c r="C75" t="s">
        <v>279</v>
      </c>
      <c r="D75">
        <v>86.92</v>
      </c>
      <c r="E75">
        <v>-0.16</v>
      </c>
      <c r="F75">
        <v>62.29</v>
      </c>
      <c r="G75">
        <v>25.59</v>
      </c>
      <c r="H75">
        <v>69.20999999999999</v>
      </c>
      <c r="I75">
        <v>0.04</v>
      </c>
      <c r="J75" t="b">
        <v>1</v>
      </c>
      <c r="K75">
        <v>71.90000000000001</v>
      </c>
      <c r="L75">
        <v>76.65000000000001</v>
      </c>
      <c r="M75">
        <v>77.81999999999999</v>
      </c>
      <c r="N75">
        <v>73.03</v>
      </c>
      <c r="O75" t="b">
        <v>1</v>
      </c>
      <c r="P75" t="b">
        <v>1</v>
      </c>
      <c r="Q75" t="b">
        <v>1</v>
      </c>
      <c r="R75">
        <v>80.83</v>
      </c>
      <c r="S75" t="b">
        <v>0</v>
      </c>
      <c r="T75" t="b">
        <v>0</v>
      </c>
      <c r="U75">
        <v>4.1002</v>
      </c>
      <c r="V75">
        <v>3.0868</v>
      </c>
      <c r="W75" t="b">
        <v>0</v>
      </c>
      <c r="X75" t="b">
        <v>1</v>
      </c>
      <c r="Y75">
        <v>1883500</v>
      </c>
      <c r="Z75">
        <v>1916230</v>
      </c>
      <c r="AA75" t="b">
        <v>0</v>
      </c>
      <c r="AB75">
        <v>76.65000000000001</v>
      </c>
      <c r="AC75">
        <v>87.87</v>
      </c>
      <c r="AD75">
        <v>65.42</v>
      </c>
      <c r="AE75">
        <v>0.958</v>
      </c>
      <c r="AF75">
        <v>0.293</v>
      </c>
      <c r="AG75">
        <v>87.06</v>
      </c>
      <c r="AH75">
        <v>67.17</v>
      </c>
      <c r="AI75" t="b">
        <v>1</v>
      </c>
      <c r="AJ75">
        <v>2.568</v>
      </c>
      <c r="AK75">
        <v>83.06999999999999</v>
      </c>
      <c r="AL75">
        <v>73.81</v>
      </c>
      <c r="AM75">
        <v>65.42</v>
      </c>
      <c r="AN75">
        <v>77.36</v>
      </c>
      <c r="AO75">
        <v>83.06999999999999</v>
      </c>
      <c r="AP75" t="s">
        <v>280</v>
      </c>
      <c r="AQ75">
        <v>77.36</v>
      </c>
      <c r="AR75">
        <v>95.61</v>
      </c>
      <c r="AS75">
        <v>0.05</v>
      </c>
      <c r="AT75">
        <v>0.07000000000000001</v>
      </c>
      <c r="AU75">
        <v>60</v>
      </c>
      <c r="AV75">
        <v>0.9089961815351889</v>
      </c>
      <c r="AW75">
        <v>4</v>
      </c>
      <c r="AX75">
        <v>6</v>
      </c>
      <c r="AY75">
        <v>104</v>
      </c>
      <c r="AZ75">
        <v>1000</v>
      </c>
      <c r="BA75">
        <v>15000</v>
      </c>
      <c r="BD75">
        <v>20.55</v>
      </c>
      <c r="BE75">
        <v>14.16</v>
      </c>
      <c r="BG75">
        <v>0</v>
      </c>
      <c r="BH75">
        <v>0.01</v>
      </c>
      <c r="BI75">
        <v>15.45</v>
      </c>
      <c r="BJ75">
        <v>154.88</v>
      </c>
      <c r="BK75">
        <v>33.32</v>
      </c>
      <c r="BM75">
        <v>0</v>
      </c>
      <c r="BN75" t="s">
        <v>285</v>
      </c>
      <c r="BO75" t="b">
        <v>0</v>
      </c>
      <c r="BP75" s="1">
        <f>IFERROR(RANK.EQ(AX75,AX$2:AX$213,0),"")</f>
        <v>0</v>
      </c>
      <c r="BQ75">
        <f>IFERROR(Y75/Z75,"")</f>
        <v>0</v>
      </c>
      <c r="BR75">
        <f>IFERROR(U75-V75,"")</f>
        <v>0</v>
      </c>
      <c r="BS75">
        <f>IFERROR(U75&gt;V75,"")</f>
        <v>0</v>
      </c>
      <c r="BT75">
        <f>IF(AND(ISNUMBER(D75),ISNUMBER(H75),D75&gt;=H75), OR(O75=TRUE,P75=TRUE), FALSE)</f>
        <v>0</v>
      </c>
      <c r="BU75">
        <f>AND(ISNUMBER(R75), R75&gt;=45, R75&lt;=60, W75=TRUE, E75&gt;=-20)</f>
        <v>0</v>
      </c>
      <c r="BV75">
        <f>OR(AI75=TRUE,AA75=TRUE)</f>
        <v>0</v>
      </c>
      <c r="BW75">
        <f>IFERROR( (AR75-D75) / MAX(D75-AQ75,1E-9) ,"")</f>
        <v>0</v>
      </c>
      <c r="BX75">
        <f>IFERROR(BW75&gt;=2, FALSE)</f>
        <v>0</v>
      </c>
      <c r="BY75" s="1">
        <f>IFERROR(ROUNDDOWN(MIN(IF(BA75&gt;0, BA75/D75, 1E99),IF(AZ75&gt;0, AZ75/MAX(D75-AQ75,1E-9), 1E99)),0),"")</f>
        <v>0</v>
      </c>
      <c r="BZ75" s="2">
        <f>IF(AND(ISNUMBER(D75),ISNUMBER(AT75)), D75*(1-AT75), "")</f>
        <v>0</v>
      </c>
      <c r="CA75">
        <f>AND(BT75=TRUE,BU75=TRUE,BV75=TRUE,BX75=TRUE)</f>
        <v>0</v>
      </c>
    </row>
    <row r="76" spans="1:79" x14ac:dyDescent="0.25">
      <c r="A76" t="s">
        <v>141</v>
      </c>
      <c r="B76">
        <f>HYPERLINK("data/charts/COO.png", "Open")</f>
        <v>0</v>
      </c>
      <c r="C76" t="s">
        <v>279</v>
      </c>
      <c r="D76">
        <v>73.26000000000001</v>
      </c>
      <c r="E76">
        <v>-34.81</v>
      </c>
      <c r="F76">
        <v>12.71</v>
      </c>
      <c r="G76">
        <v>-13.85</v>
      </c>
      <c r="H76">
        <v>85.04000000000001</v>
      </c>
      <c r="I76">
        <v>-0.2055</v>
      </c>
      <c r="J76" t="b">
        <v>0</v>
      </c>
      <c r="K76">
        <v>71.94</v>
      </c>
      <c r="L76">
        <v>71.98999999999999</v>
      </c>
      <c r="M76">
        <v>72.09999999999999</v>
      </c>
      <c r="N76">
        <v>73.11</v>
      </c>
      <c r="O76" t="b">
        <v>1</v>
      </c>
      <c r="P76" t="b">
        <v>1</v>
      </c>
      <c r="Q76" t="b">
        <v>1</v>
      </c>
      <c r="R76">
        <v>53.94</v>
      </c>
      <c r="S76" t="b">
        <v>0</v>
      </c>
      <c r="T76" t="b">
        <v>0</v>
      </c>
      <c r="U76">
        <v>-0.0577</v>
      </c>
      <c r="V76">
        <v>-0.4</v>
      </c>
      <c r="W76" t="b">
        <v>1</v>
      </c>
      <c r="X76" t="b">
        <v>1</v>
      </c>
      <c r="Y76">
        <v>1397200</v>
      </c>
      <c r="Z76">
        <v>1638215</v>
      </c>
      <c r="AA76" t="b">
        <v>0</v>
      </c>
      <c r="AB76">
        <v>71.98999999999999</v>
      </c>
      <c r="AC76">
        <v>75.53</v>
      </c>
      <c r="AD76">
        <v>68.44</v>
      </c>
      <c r="AE76">
        <v>0.68</v>
      </c>
      <c r="AF76">
        <v>0.098</v>
      </c>
      <c r="AG76">
        <v>74.73</v>
      </c>
      <c r="AH76">
        <v>68.09</v>
      </c>
      <c r="AI76" t="b">
        <v>0</v>
      </c>
      <c r="AJ76">
        <v>1.551</v>
      </c>
      <c r="AK76">
        <v>70.93000000000001</v>
      </c>
      <c r="AL76">
        <v>68.09</v>
      </c>
      <c r="AM76">
        <v>68.44</v>
      </c>
      <c r="AN76">
        <v>65.2</v>
      </c>
      <c r="AO76">
        <v>70.93000000000001</v>
      </c>
      <c r="AP76" t="s">
        <v>280</v>
      </c>
      <c r="AQ76">
        <v>65.2</v>
      </c>
      <c r="AR76">
        <v>80.59</v>
      </c>
      <c r="AS76">
        <v>0.05</v>
      </c>
      <c r="AT76">
        <v>0.07000000000000001</v>
      </c>
      <c r="AU76">
        <v>60</v>
      </c>
      <c r="AV76">
        <v>0.9094287743201093</v>
      </c>
      <c r="AW76">
        <v>5</v>
      </c>
      <c r="AX76">
        <v>5.75</v>
      </c>
      <c r="AY76">
        <v>124</v>
      </c>
      <c r="AZ76">
        <v>1000</v>
      </c>
      <c r="BA76">
        <v>15000</v>
      </c>
      <c r="BD76">
        <v>35.39</v>
      </c>
      <c r="BE76">
        <v>17.96</v>
      </c>
      <c r="BG76">
        <v>0</v>
      </c>
      <c r="BH76">
        <v>0.31</v>
      </c>
      <c r="BI76">
        <v>3.9</v>
      </c>
      <c r="BJ76">
        <v>-15.94</v>
      </c>
      <c r="BK76">
        <v>8.75</v>
      </c>
      <c r="BM76">
        <v>-25.28</v>
      </c>
      <c r="BN76" t="s">
        <v>283</v>
      </c>
      <c r="BO76" t="b">
        <v>0</v>
      </c>
      <c r="BP76" s="1">
        <f>IFERROR(RANK.EQ(AX76,AX$2:AX$213,0),"")</f>
        <v>0</v>
      </c>
      <c r="BQ76">
        <f>IFERROR(Y76/Z76,"")</f>
        <v>0</v>
      </c>
      <c r="BR76">
        <f>IFERROR(U76-V76,"")</f>
        <v>0</v>
      </c>
      <c r="BS76">
        <f>IFERROR(U76&gt;V76,"")</f>
        <v>0</v>
      </c>
      <c r="BT76">
        <f>IF(AND(ISNUMBER(D76),ISNUMBER(H76),D76&gt;=H76), OR(O76=TRUE,P76=TRUE), FALSE)</f>
        <v>0</v>
      </c>
      <c r="BU76">
        <f>AND(ISNUMBER(R76), R76&gt;=45, R76&lt;=60, W76=TRUE, E76&gt;=-20)</f>
        <v>0</v>
      </c>
      <c r="BV76">
        <f>OR(AI76=TRUE,AA76=TRUE)</f>
        <v>0</v>
      </c>
      <c r="BW76">
        <f>IFERROR( (AR76-D76) / MAX(D76-AQ76,1E-9) ,"")</f>
        <v>0</v>
      </c>
      <c r="BX76">
        <f>IFERROR(BW76&gt;=2, FALSE)</f>
        <v>0</v>
      </c>
      <c r="BY76" s="1">
        <f>IFERROR(ROUNDDOWN(MIN(IF(BA76&gt;0, BA76/D76, 1E99),IF(AZ76&gt;0, AZ76/MAX(D76-AQ76,1E-9), 1E99)),0),"")</f>
        <v>0</v>
      </c>
      <c r="BZ76" s="2">
        <f>IF(AND(ISNUMBER(D76),ISNUMBER(AT76)), D76*(1-AT76), "")</f>
        <v>0</v>
      </c>
      <c r="CA76">
        <f>AND(BT76=TRUE,BU76=TRUE,BV76=TRUE,BX76=TRUE)</f>
        <v>0</v>
      </c>
    </row>
    <row r="77" spans="1:79" x14ac:dyDescent="0.25">
      <c r="A77" t="s">
        <v>142</v>
      </c>
      <c r="B77">
        <f>HYPERLINK("data/charts/CHTR.png", "Open")</f>
        <v>0</v>
      </c>
      <c r="C77" t="s">
        <v>279</v>
      </c>
      <c r="D77">
        <v>267.8</v>
      </c>
      <c r="E77">
        <v>-38.73</v>
      </c>
      <c r="F77">
        <v>5.16</v>
      </c>
      <c r="G77">
        <v>-26.81</v>
      </c>
      <c r="H77">
        <v>365.89</v>
      </c>
      <c r="I77">
        <v>0.0454</v>
      </c>
      <c r="J77" t="b">
        <v>1</v>
      </c>
      <c r="K77">
        <v>355.43</v>
      </c>
      <c r="L77">
        <v>294.62</v>
      </c>
      <c r="M77">
        <v>294.6</v>
      </c>
      <c r="N77">
        <v>334.08</v>
      </c>
      <c r="O77" t="b">
        <v>0</v>
      </c>
      <c r="P77" t="b">
        <v>0</v>
      </c>
      <c r="Q77" t="b">
        <v>0</v>
      </c>
      <c r="R77">
        <v>29.41</v>
      </c>
      <c r="S77" t="b">
        <v>1</v>
      </c>
      <c r="T77" t="b">
        <v>1</v>
      </c>
      <c r="U77">
        <v>-30.2207</v>
      </c>
      <c r="V77">
        <v>-31.9098</v>
      </c>
      <c r="W77" t="b">
        <v>1</v>
      </c>
      <c r="X77" t="b">
        <v>1</v>
      </c>
      <c r="Y77">
        <v>1697900</v>
      </c>
      <c r="Z77">
        <v>2813735</v>
      </c>
      <c r="AA77" t="b">
        <v>0</v>
      </c>
      <c r="AB77">
        <v>294.62</v>
      </c>
      <c r="AC77">
        <v>394.28</v>
      </c>
      <c r="AD77">
        <v>194.97</v>
      </c>
      <c r="AE77">
        <v>0.365</v>
      </c>
      <c r="AF77">
        <v>0.677</v>
      </c>
      <c r="AG77">
        <v>402.15</v>
      </c>
      <c r="AH77">
        <v>254.67</v>
      </c>
      <c r="AI77" t="b">
        <v>0</v>
      </c>
      <c r="AJ77">
        <v>8.759</v>
      </c>
      <c r="AK77">
        <v>254.66</v>
      </c>
      <c r="AL77">
        <v>254.67</v>
      </c>
      <c r="AM77">
        <v>194.97</v>
      </c>
      <c r="AN77">
        <v>238.34</v>
      </c>
      <c r="AO77">
        <v>254.67</v>
      </c>
      <c r="AP77" t="s">
        <v>282</v>
      </c>
      <c r="AQ77">
        <v>238.34</v>
      </c>
      <c r="AR77">
        <v>294.58</v>
      </c>
      <c r="AS77">
        <v>0.05</v>
      </c>
      <c r="AT77">
        <v>0.07000000000000001</v>
      </c>
      <c r="AU77">
        <v>60</v>
      </c>
      <c r="AV77">
        <v>0.9090299831496487</v>
      </c>
      <c r="AW77">
        <v>4</v>
      </c>
      <c r="AX77">
        <v>5.75</v>
      </c>
      <c r="AY77">
        <v>33</v>
      </c>
      <c r="AZ77">
        <v>1000</v>
      </c>
      <c r="BA77">
        <v>15000</v>
      </c>
      <c r="BD77">
        <v>7.33</v>
      </c>
      <c r="BE77">
        <v>7.48</v>
      </c>
      <c r="BG77">
        <v>0</v>
      </c>
      <c r="BH77">
        <v>4.73</v>
      </c>
      <c r="BI77">
        <v>0.23</v>
      </c>
      <c r="BJ77">
        <v>9.550000000000001</v>
      </c>
      <c r="BK77">
        <v>9.449999999999999</v>
      </c>
      <c r="BM77">
        <v>1.29</v>
      </c>
      <c r="BN77" t="s">
        <v>314</v>
      </c>
      <c r="BO77" t="b">
        <v>0</v>
      </c>
      <c r="BP77" s="1">
        <f>IFERROR(RANK.EQ(AX77,AX$2:AX$213,0),"")</f>
        <v>0</v>
      </c>
      <c r="BQ77">
        <f>IFERROR(Y77/Z77,"")</f>
        <v>0</v>
      </c>
      <c r="BR77">
        <f>IFERROR(U77-V77,"")</f>
        <v>0</v>
      </c>
      <c r="BS77">
        <f>IFERROR(U77&gt;V77,"")</f>
        <v>0</v>
      </c>
      <c r="BT77">
        <f>IF(AND(ISNUMBER(D77),ISNUMBER(H77),D77&gt;=H77), OR(O77=TRUE,P77=TRUE), FALSE)</f>
        <v>0</v>
      </c>
      <c r="BU77">
        <f>AND(ISNUMBER(R77), R77&gt;=45, R77&lt;=60, W77=TRUE, E77&gt;=-20)</f>
        <v>0</v>
      </c>
      <c r="BV77">
        <f>OR(AI77=TRUE,AA77=TRUE)</f>
        <v>0</v>
      </c>
      <c r="BW77">
        <f>IFERROR( (AR77-D77) / MAX(D77-AQ77,1E-9) ,"")</f>
        <v>0</v>
      </c>
      <c r="BX77">
        <f>IFERROR(BW77&gt;=2, FALSE)</f>
        <v>0</v>
      </c>
      <c r="BY77" s="1">
        <f>IFERROR(ROUNDDOWN(MIN(IF(BA77&gt;0, BA77/D77, 1E99),IF(AZ77&gt;0, AZ77/MAX(D77-AQ77,1E-9), 1E99)),0),"")</f>
        <v>0</v>
      </c>
      <c r="BZ77" s="2">
        <f>IF(AND(ISNUMBER(D77),ISNUMBER(AT77)), D77*(1-AT77), "")</f>
        <v>0</v>
      </c>
      <c r="CA77">
        <f>AND(BT77=TRUE,BU77=TRUE,BV77=TRUE,BX77=TRUE)</f>
        <v>0</v>
      </c>
    </row>
    <row r="78" spans="1:79" x14ac:dyDescent="0.25">
      <c r="A78" t="s">
        <v>143</v>
      </c>
      <c r="B78">
        <f>HYPERLINK("data/charts/EOG.png", "Open")</f>
        <v>0</v>
      </c>
      <c r="C78" t="s">
        <v>279</v>
      </c>
      <c r="D78">
        <v>118.99</v>
      </c>
      <c r="E78">
        <v>-13.89</v>
      </c>
      <c r="F78">
        <v>16.07</v>
      </c>
      <c r="G78">
        <v>-2.81</v>
      </c>
      <c r="H78">
        <v>122.43</v>
      </c>
      <c r="I78">
        <v>-0.0216</v>
      </c>
      <c r="J78" t="b">
        <v>0</v>
      </c>
      <c r="K78">
        <v>119.78</v>
      </c>
      <c r="L78">
        <v>118.51</v>
      </c>
      <c r="M78">
        <v>118.64</v>
      </c>
      <c r="N78">
        <v>118.61</v>
      </c>
      <c r="O78" t="b">
        <v>1</v>
      </c>
      <c r="P78" t="b">
        <v>1</v>
      </c>
      <c r="Q78" t="b">
        <v>1</v>
      </c>
      <c r="R78">
        <v>50.9</v>
      </c>
      <c r="S78" t="b">
        <v>0</v>
      </c>
      <c r="T78" t="b">
        <v>0</v>
      </c>
      <c r="U78">
        <v>-0.2797</v>
      </c>
      <c r="V78">
        <v>-0.4191</v>
      </c>
      <c r="W78" t="b">
        <v>1</v>
      </c>
      <c r="X78" t="b">
        <v>1</v>
      </c>
      <c r="Y78">
        <v>2944400</v>
      </c>
      <c r="Z78">
        <v>2853760</v>
      </c>
      <c r="AA78" t="b">
        <v>0</v>
      </c>
      <c r="AB78">
        <v>118.51</v>
      </c>
      <c r="AC78">
        <v>122.34</v>
      </c>
      <c r="AD78">
        <v>114.68</v>
      </c>
      <c r="AE78">
        <v>0.5629999999999999</v>
      </c>
      <c r="AF78">
        <v>0.065</v>
      </c>
      <c r="AG78">
        <v>123.22</v>
      </c>
      <c r="AH78">
        <v>113.36</v>
      </c>
      <c r="AI78" t="b">
        <v>0</v>
      </c>
      <c r="AJ78">
        <v>2.729</v>
      </c>
      <c r="AK78">
        <v>114.9</v>
      </c>
      <c r="AL78">
        <v>113.36</v>
      </c>
      <c r="AM78">
        <v>114.68</v>
      </c>
      <c r="AN78">
        <v>105.9</v>
      </c>
      <c r="AO78">
        <v>114.9</v>
      </c>
      <c r="AP78" t="s">
        <v>280</v>
      </c>
      <c r="AQ78">
        <v>105.9</v>
      </c>
      <c r="AR78">
        <v>130.89</v>
      </c>
      <c r="AS78">
        <v>0.05</v>
      </c>
      <c r="AT78">
        <v>0.07000000000000001</v>
      </c>
      <c r="AU78">
        <v>60</v>
      </c>
      <c r="AV78">
        <v>0.9090912206462051</v>
      </c>
      <c r="AW78">
        <v>4</v>
      </c>
      <c r="AX78">
        <v>5.75</v>
      </c>
      <c r="AY78">
        <v>76</v>
      </c>
      <c r="AZ78">
        <v>1000</v>
      </c>
      <c r="BA78">
        <v>15000</v>
      </c>
      <c r="BD78">
        <v>11.55</v>
      </c>
      <c r="BE78">
        <v>10.76</v>
      </c>
      <c r="BF78">
        <v>3.43</v>
      </c>
      <c r="BG78">
        <v>0.37</v>
      </c>
      <c r="BH78">
        <v>0.16</v>
      </c>
      <c r="BI78">
        <v>-8.34</v>
      </c>
      <c r="BJ78">
        <v>-6.77</v>
      </c>
      <c r="BK78">
        <v>25.12</v>
      </c>
      <c r="BM78">
        <v>-0.57</v>
      </c>
      <c r="BN78" t="s">
        <v>296</v>
      </c>
      <c r="BO78" t="b">
        <v>0</v>
      </c>
      <c r="BP78" s="1">
        <f>IFERROR(RANK.EQ(AX78,AX$2:AX$213,0),"")</f>
        <v>0</v>
      </c>
      <c r="BQ78">
        <f>IFERROR(Y78/Z78,"")</f>
        <v>0</v>
      </c>
      <c r="BR78">
        <f>IFERROR(U78-V78,"")</f>
        <v>0</v>
      </c>
      <c r="BS78">
        <f>IFERROR(U78&gt;V78,"")</f>
        <v>0</v>
      </c>
      <c r="BT78">
        <f>IF(AND(ISNUMBER(D78),ISNUMBER(H78),D78&gt;=H78), OR(O78=TRUE,P78=TRUE), FALSE)</f>
        <v>0</v>
      </c>
      <c r="BU78">
        <f>AND(ISNUMBER(R78), R78&gt;=45, R78&lt;=60, W78=TRUE, E78&gt;=-20)</f>
        <v>0</v>
      </c>
      <c r="BV78">
        <f>OR(AI78=TRUE,AA78=TRUE)</f>
        <v>0</v>
      </c>
      <c r="BW78">
        <f>IFERROR( (AR78-D78) / MAX(D78-AQ78,1E-9) ,"")</f>
        <v>0</v>
      </c>
      <c r="BX78">
        <f>IFERROR(BW78&gt;=2, FALSE)</f>
        <v>0</v>
      </c>
      <c r="BY78" s="1">
        <f>IFERROR(ROUNDDOWN(MIN(IF(BA78&gt;0, BA78/D78, 1E99),IF(AZ78&gt;0, AZ78/MAX(D78-AQ78,1E-9), 1E99)),0),"")</f>
        <v>0</v>
      </c>
      <c r="BZ78" s="2">
        <f>IF(AND(ISNUMBER(D78),ISNUMBER(AT78)), D78*(1-AT78), "")</f>
        <v>0</v>
      </c>
      <c r="CA78">
        <f>AND(BT78=TRUE,BU78=TRUE,BV78=TRUE,BX78=TRUE)</f>
        <v>0</v>
      </c>
    </row>
    <row r="79" spans="1:79" x14ac:dyDescent="0.25">
      <c r="A79" t="s">
        <v>144</v>
      </c>
      <c r="B79">
        <f>HYPERLINK("data/charts/ITW.png", "Open")</f>
        <v>0</v>
      </c>
      <c r="C79" t="s">
        <v>279</v>
      </c>
      <c r="D79">
        <v>258.64</v>
      </c>
      <c r="E79">
        <v>-7.34</v>
      </c>
      <c r="F79">
        <v>20.49</v>
      </c>
      <c r="G79">
        <v>1.47</v>
      </c>
      <c r="H79">
        <v>254.9</v>
      </c>
      <c r="I79">
        <v>-0.0005</v>
      </c>
      <c r="J79" t="b">
        <v>0</v>
      </c>
      <c r="K79">
        <v>253.74</v>
      </c>
      <c r="L79">
        <v>258.49</v>
      </c>
      <c r="M79">
        <v>258.16</v>
      </c>
      <c r="N79">
        <v>254.82</v>
      </c>
      <c r="O79" t="b">
        <v>1</v>
      </c>
      <c r="P79" t="b">
        <v>1</v>
      </c>
      <c r="Q79" t="b">
        <v>1</v>
      </c>
      <c r="R79">
        <v>51.84</v>
      </c>
      <c r="S79" t="b">
        <v>0</v>
      </c>
      <c r="T79" t="b">
        <v>0</v>
      </c>
      <c r="U79">
        <v>1.7394</v>
      </c>
      <c r="V79">
        <v>1.5382</v>
      </c>
      <c r="W79" t="b">
        <v>1</v>
      </c>
      <c r="X79" t="b">
        <v>1</v>
      </c>
      <c r="Y79">
        <v>1115100</v>
      </c>
      <c r="Z79">
        <v>1048615</v>
      </c>
      <c r="AA79" t="b">
        <v>0</v>
      </c>
      <c r="AB79">
        <v>258.49</v>
      </c>
      <c r="AC79">
        <v>265.83</v>
      </c>
      <c r="AD79">
        <v>251.15</v>
      </c>
      <c r="AE79">
        <v>0.51</v>
      </c>
      <c r="AF79">
        <v>0.057</v>
      </c>
      <c r="AG79">
        <v>267.44</v>
      </c>
      <c r="AH79">
        <v>249.67</v>
      </c>
      <c r="AI79" t="b">
        <v>0</v>
      </c>
      <c r="AJ79">
        <v>4.313</v>
      </c>
      <c r="AK79">
        <v>252.17</v>
      </c>
      <c r="AL79">
        <v>256.11</v>
      </c>
      <c r="AM79">
        <v>251.15</v>
      </c>
      <c r="AN79">
        <v>230.19</v>
      </c>
      <c r="AO79">
        <v>256.11</v>
      </c>
      <c r="AP79" t="s">
        <v>282</v>
      </c>
      <c r="AQ79">
        <v>230.19</v>
      </c>
      <c r="AR79">
        <v>284.5</v>
      </c>
      <c r="AS79">
        <v>0.05</v>
      </c>
      <c r="AT79">
        <v>0.07000000000000001</v>
      </c>
      <c r="AU79">
        <v>60</v>
      </c>
      <c r="AV79">
        <v>0.9089621102526481</v>
      </c>
      <c r="AW79">
        <v>4</v>
      </c>
      <c r="AX79">
        <v>5.75</v>
      </c>
      <c r="AY79">
        <v>35</v>
      </c>
      <c r="AZ79">
        <v>1000</v>
      </c>
      <c r="BA79">
        <v>15000</v>
      </c>
      <c r="BD79">
        <v>22.73</v>
      </c>
      <c r="BE79">
        <v>24.17</v>
      </c>
      <c r="BF79">
        <v>2.49</v>
      </c>
      <c r="BG79">
        <v>0.53</v>
      </c>
      <c r="BH79">
        <v>2.78</v>
      </c>
      <c r="BI79">
        <v>5.57</v>
      </c>
      <c r="BJ79">
        <v>7.95</v>
      </c>
      <c r="BK79">
        <v>18.63</v>
      </c>
      <c r="BM79">
        <v>-45.46</v>
      </c>
      <c r="BN79" t="s">
        <v>313</v>
      </c>
      <c r="BO79" t="b">
        <v>0</v>
      </c>
      <c r="BP79" s="1">
        <f>IFERROR(RANK.EQ(AX79,AX$2:AX$213,0),"")</f>
        <v>0</v>
      </c>
      <c r="BQ79">
        <f>IFERROR(Y79/Z79,"")</f>
        <v>0</v>
      </c>
      <c r="BR79">
        <f>IFERROR(U79-V79,"")</f>
        <v>0</v>
      </c>
      <c r="BS79">
        <f>IFERROR(U79&gt;V79,"")</f>
        <v>0</v>
      </c>
      <c r="BT79">
        <f>IF(AND(ISNUMBER(D79),ISNUMBER(H79),D79&gt;=H79), OR(O79=TRUE,P79=TRUE), FALSE)</f>
        <v>0</v>
      </c>
      <c r="BU79">
        <f>AND(ISNUMBER(R79), R79&gt;=45, R79&lt;=60, W79=TRUE, E79&gt;=-20)</f>
        <v>0</v>
      </c>
      <c r="BV79">
        <f>OR(AI79=TRUE,AA79=TRUE)</f>
        <v>0</v>
      </c>
      <c r="BW79">
        <f>IFERROR( (AR79-D79) / MAX(D79-AQ79,1E-9) ,"")</f>
        <v>0</v>
      </c>
      <c r="BX79">
        <f>IFERROR(BW79&gt;=2, FALSE)</f>
        <v>0</v>
      </c>
      <c r="BY79" s="1">
        <f>IFERROR(ROUNDDOWN(MIN(IF(BA79&gt;0, BA79/D79, 1E99),IF(AZ79&gt;0, AZ79/MAX(D79-AQ79,1E-9), 1E99)),0),"")</f>
        <v>0</v>
      </c>
      <c r="BZ79" s="2">
        <f>IF(AND(ISNUMBER(D79),ISNUMBER(AT79)), D79*(1-AT79), "")</f>
        <v>0</v>
      </c>
      <c r="CA79">
        <f>AND(BT79=TRUE,BU79=TRUE,BV79=TRUE,BX79=TRUE)</f>
        <v>0</v>
      </c>
    </row>
    <row r="80" spans="1:79" x14ac:dyDescent="0.25">
      <c r="A80" t="s">
        <v>145</v>
      </c>
      <c r="B80">
        <f>HYPERLINK("data/charts/RCH_TO.png", "Open")</f>
        <v>0</v>
      </c>
      <c r="C80" t="s">
        <v>279</v>
      </c>
      <c r="D80">
        <v>35.84</v>
      </c>
      <c r="E80">
        <v>-17.04</v>
      </c>
      <c r="F80">
        <v>12.67</v>
      </c>
      <c r="G80">
        <v>-1.52</v>
      </c>
      <c r="H80">
        <v>36.39</v>
      </c>
      <c r="I80">
        <v>-0.0525</v>
      </c>
      <c r="J80" t="b">
        <v>0</v>
      </c>
      <c r="K80">
        <v>35.43</v>
      </c>
      <c r="L80">
        <v>35.34</v>
      </c>
      <c r="M80">
        <v>35.49</v>
      </c>
      <c r="N80">
        <v>35.31</v>
      </c>
      <c r="O80" t="b">
        <v>1</v>
      </c>
      <c r="P80" t="b">
        <v>1</v>
      </c>
      <c r="Q80" t="b">
        <v>1</v>
      </c>
      <c r="R80">
        <v>53.72</v>
      </c>
      <c r="S80" t="b">
        <v>0</v>
      </c>
      <c r="T80" t="b">
        <v>0</v>
      </c>
      <c r="U80">
        <v>0.1321</v>
      </c>
      <c r="V80">
        <v>-0.0066</v>
      </c>
      <c r="W80" t="b">
        <v>1</v>
      </c>
      <c r="X80" t="b">
        <v>0</v>
      </c>
      <c r="Y80">
        <v>51000</v>
      </c>
      <c r="Z80">
        <v>63855</v>
      </c>
      <c r="AA80" t="b">
        <v>0</v>
      </c>
      <c r="AB80">
        <v>35.34</v>
      </c>
      <c r="AC80">
        <v>36.54</v>
      </c>
      <c r="AD80">
        <v>34.15</v>
      </c>
      <c r="AE80">
        <v>0.709</v>
      </c>
      <c r="AF80">
        <v>0.068</v>
      </c>
      <c r="AG80">
        <v>36.73</v>
      </c>
      <c r="AH80">
        <v>34.18</v>
      </c>
      <c r="AI80" t="b">
        <v>0</v>
      </c>
      <c r="AJ80">
        <v>0.726</v>
      </c>
      <c r="AK80">
        <v>34.75</v>
      </c>
      <c r="AL80">
        <v>34.4</v>
      </c>
      <c r="AM80">
        <v>34.15</v>
      </c>
      <c r="AN80">
        <v>31.9</v>
      </c>
      <c r="AO80">
        <v>34.75</v>
      </c>
      <c r="AP80" t="s">
        <v>280</v>
      </c>
      <c r="AQ80">
        <v>31.9</v>
      </c>
      <c r="AR80">
        <v>39.42</v>
      </c>
      <c r="AS80">
        <v>0.05</v>
      </c>
      <c r="AT80">
        <v>0.07000000000000001</v>
      </c>
      <c r="AU80">
        <v>60</v>
      </c>
      <c r="AV80">
        <v>0.9086293677071754</v>
      </c>
      <c r="AW80">
        <v>4</v>
      </c>
      <c r="AX80">
        <v>5.75</v>
      </c>
      <c r="AY80">
        <v>253</v>
      </c>
      <c r="AZ80">
        <v>1000</v>
      </c>
      <c r="BA80">
        <v>15000</v>
      </c>
      <c r="BD80">
        <v>23.89</v>
      </c>
      <c r="BE80">
        <v>19.91</v>
      </c>
      <c r="BF80">
        <v>1.71</v>
      </c>
      <c r="BG80">
        <v>0.4</v>
      </c>
      <c r="BH80">
        <v>0.35</v>
      </c>
      <c r="BI80">
        <v>15.96</v>
      </c>
      <c r="BJ80">
        <v>64</v>
      </c>
      <c r="BK80">
        <v>4.39</v>
      </c>
      <c r="BM80">
        <v>-6.13</v>
      </c>
      <c r="BN80" t="s">
        <v>299</v>
      </c>
      <c r="BO80" t="b">
        <v>0</v>
      </c>
      <c r="BP80" s="1">
        <f>IFERROR(RANK.EQ(AX80,AX$2:AX$213,0),"")</f>
        <v>0</v>
      </c>
      <c r="BQ80">
        <f>IFERROR(Y80/Z80,"")</f>
        <v>0</v>
      </c>
      <c r="BR80">
        <f>IFERROR(U80-V80,"")</f>
        <v>0</v>
      </c>
      <c r="BS80">
        <f>IFERROR(U80&gt;V80,"")</f>
        <v>0</v>
      </c>
      <c r="BT80">
        <f>IF(AND(ISNUMBER(D80),ISNUMBER(H80),D80&gt;=H80), OR(O80=TRUE,P80=TRUE), FALSE)</f>
        <v>0</v>
      </c>
      <c r="BU80">
        <f>AND(ISNUMBER(R80), R80&gt;=45, R80&lt;=60, W80=TRUE, E80&gt;=-20)</f>
        <v>0</v>
      </c>
      <c r="BV80">
        <f>OR(AI80=TRUE,AA80=TRUE)</f>
        <v>0</v>
      </c>
      <c r="BW80">
        <f>IFERROR( (AR80-D80) / MAX(D80-AQ80,1E-9) ,"")</f>
        <v>0</v>
      </c>
      <c r="BX80">
        <f>IFERROR(BW80&gt;=2, FALSE)</f>
        <v>0</v>
      </c>
      <c r="BY80" s="1">
        <f>IFERROR(ROUNDDOWN(MIN(IF(BA80&gt;0, BA80/D80, 1E99),IF(AZ80&gt;0, AZ80/MAX(D80-AQ80,1E-9), 1E99)),0),"")</f>
        <v>0</v>
      </c>
      <c r="BZ80" s="2">
        <f>IF(AND(ISNUMBER(D80),ISNUMBER(AT80)), D80*(1-AT80), "")</f>
        <v>0</v>
      </c>
      <c r="CA80">
        <f>AND(BT80=TRUE,BU80=TRUE,BV80=TRUE,BX80=TRUE)</f>
        <v>0</v>
      </c>
    </row>
    <row r="81" spans="1:79" x14ac:dyDescent="0.25">
      <c r="A81" t="s">
        <v>146</v>
      </c>
      <c r="B81">
        <f>HYPERLINK("data/charts/TFC.png", "Open")</f>
        <v>0</v>
      </c>
      <c r="C81" t="s">
        <v>279</v>
      </c>
      <c r="D81">
        <v>44.42</v>
      </c>
      <c r="E81">
        <v>-9.460000000000001</v>
      </c>
      <c r="F81">
        <v>32.36</v>
      </c>
      <c r="G81">
        <v>3.18</v>
      </c>
      <c r="H81">
        <v>43.05</v>
      </c>
      <c r="I81">
        <v>0.0138</v>
      </c>
      <c r="J81" t="b">
        <v>1</v>
      </c>
      <c r="K81">
        <v>43.21</v>
      </c>
      <c r="L81">
        <v>44.22</v>
      </c>
      <c r="M81">
        <v>44</v>
      </c>
      <c r="N81">
        <v>43.27</v>
      </c>
      <c r="O81" t="b">
        <v>1</v>
      </c>
      <c r="P81" t="b">
        <v>1</v>
      </c>
      <c r="Q81" t="b">
        <v>1</v>
      </c>
      <c r="R81">
        <v>54.4</v>
      </c>
      <c r="S81" t="b">
        <v>0</v>
      </c>
      <c r="T81" t="b">
        <v>0</v>
      </c>
      <c r="U81">
        <v>0.1381</v>
      </c>
      <c r="V81">
        <v>0.1288</v>
      </c>
      <c r="W81" t="b">
        <v>1</v>
      </c>
      <c r="X81" t="b">
        <v>1</v>
      </c>
      <c r="Y81">
        <v>6876900</v>
      </c>
      <c r="Z81">
        <v>6792885</v>
      </c>
      <c r="AA81" t="b">
        <v>0</v>
      </c>
      <c r="AB81">
        <v>44.22</v>
      </c>
      <c r="AC81">
        <v>46.18</v>
      </c>
      <c r="AD81">
        <v>42.26</v>
      </c>
      <c r="AE81">
        <v>0.551</v>
      </c>
      <c r="AF81">
        <v>0.089</v>
      </c>
      <c r="AG81">
        <v>46.13</v>
      </c>
      <c r="AH81">
        <v>41.98</v>
      </c>
      <c r="AI81" t="b">
        <v>0</v>
      </c>
      <c r="AJ81">
        <v>0.848</v>
      </c>
      <c r="AK81">
        <v>43.15</v>
      </c>
      <c r="AL81">
        <v>42.31</v>
      </c>
      <c r="AM81">
        <v>42.26</v>
      </c>
      <c r="AN81">
        <v>39.53</v>
      </c>
      <c r="AO81">
        <v>43.15</v>
      </c>
      <c r="AP81" t="s">
        <v>280</v>
      </c>
      <c r="AQ81">
        <v>39.53</v>
      </c>
      <c r="AR81">
        <v>48.86</v>
      </c>
      <c r="AS81">
        <v>0.05</v>
      </c>
      <c r="AT81">
        <v>0.07000000000000001</v>
      </c>
      <c r="AU81">
        <v>60</v>
      </c>
      <c r="AV81">
        <v>0.9079761745621101</v>
      </c>
      <c r="AW81">
        <v>4</v>
      </c>
      <c r="AX81">
        <v>5.75</v>
      </c>
      <c r="AY81">
        <v>204</v>
      </c>
      <c r="AZ81">
        <v>1000</v>
      </c>
      <c r="BA81">
        <v>15000</v>
      </c>
      <c r="BD81">
        <v>12.04</v>
      </c>
      <c r="BE81">
        <v>11.25</v>
      </c>
      <c r="BF81">
        <v>4.68</v>
      </c>
      <c r="BG81">
        <v>0.5600000000000001</v>
      </c>
      <c r="BH81">
        <v>0.9399999999999999</v>
      </c>
      <c r="BI81">
        <v>1.8</v>
      </c>
      <c r="BJ81">
        <v>3.41</v>
      </c>
      <c r="BK81">
        <v>24.86</v>
      </c>
      <c r="BM81">
        <v>0.32</v>
      </c>
      <c r="BN81" t="s">
        <v>297</v>
      </c>
      <c r="BO81" t="b">
        <v>0</v>
      </c>
      <c r="BP81" s="1">
        <f>IFERROR(RANK.EQ(AX81,AX$2:AX$213,0),"")</f>
        <v>0</v>
      </c>
      <c r="BQ81">
        <f>IFERROR(Y81/Z81,"")</f>
        <v>0</v>
      </c>
      <c r="BR81">
        <f>IFERROR(U81-V81,"")</f>
        <v>0</v>
      </c>
      <c r="BS81">
        <f>IFERROR(U81&gt;V81,"")</f>
        <v>0</v>
      </c>
      <c r="BT81">
        <f>IF(AND(ISNUMBER(D81),ISNUMBER(H81),D81&gt;=H81), OR(O81=TRUE,P81=TRUE), FALSE)</f>
        <v>0</v>
      </c>
      <c r="BU81">
        <f>AND(ISNUMBER(R81), R81&gt;=45, R81&lt;=60, W81=TRUE, E81&gt;=-20)</f>
        <v>0</v>
      </c>
      <c r="BV81">
        <f>OR(AI81=TRUE,AA81=TRUE)</f>
        <v>0</v>
      </c>
      <c r="BW81">
        <f>IFERROR( (AR81-D81) / MAX(D81-AQ81,1E-9) ,"")</f>
        <v>0</v>
      </c>
      <c r="BX81">
        <f>IFERROR(BW81&gt;=2, FALSE)</f>
        <v>0</v>
      </c>
      <c r="BY81" s="1">
        <f>IFERROR(ROUNDDOWN(MIN(IF(BA81&gt;0, BA81/D81, 1E99),IF(AZ81&gt;0, AZ81/MAX(D81-AQ81,1E-9), 1E99)),0),"")</f>
        <v>0</v>
      </c>
      <c r="BZ81" s="2">
        <f>IF(AND(ISNUMBER(D81),ISNUMBER(AT81)), D81*(1-AT81), "")</f>
        <v>0</v>
      </c>
      <c r="CA81">
        <f>AND(BT81=TRUE,BU81=TRUE,BV81=TRUE,BX81=TRUE)</f>
        <v>0</v>
      </c>
    </row>
    <row r="82" spans="1:79" x14ac:dyDescent="0.25">
      <c r="A82" t="s">
        <v>147</v>
      </c>
      <c r="B82">
        <f>HYPERLINK("data/charts/COP.png", "Open")</f>
        <v>0</v>
      </c>
      <c r="C82" t="s">
        <v>279</v>
      </c>
      <c r="D82">
        <v>95.33</v>
      </c>
      <c r="E82">
        <v>-17.88</v>
      </c>
      <c r="F82">
        <v>19.34</v>
      </c>
      <c r="G82">
        <v>-1.74</v>
      </c>
      <c r="H82">
        <v>97.02</v>
      </c>
      <c r="I82">
        <v>-0.0762</v>
      </c>
      <c r="J82" t="b">
        <v>0</v>
      </c>
      <c r="K82">
        <v>93.27</v>
      </c>
      <c r="L82">
        <v>94.5</v>
      </c>
      <c r="M82">
        <v>94.27</v>
      </c>
      <c r="N82">
        <v>93.41</v>
      </c>
      <c r="O82" t="b">
        <v>1</v>
      </c>
      <c r="P82" t="b">
        <v>1</v>
      </c>
      <c r="Q82" t="b">
        <v>1</v>
      </c>
      <c r="R82">
        <v>54.96</v>
      </c>
      <c r="S82" t="b">
        <v>0</v>
      </c>
      <c r="T82" t="b">
        <v>0</v>
      </c>
      <c r="U82">
        <v>0.495</v>
      </c>
      <c r="V82">
        <v>0.4396</v>
      </c>
      <c r="W82" t="b">
        <v>1</v>
      </c>
      <c r="X82" t="b">
        <v>0</v>
      </c>
      <c r="Y82">
        <v>6561900</v>
      </c>
      <c r="Z82">
        <v>6799955</v>
      </c>
      <c r="AA82" t="b">
        <v>0</v>
      </c>
      <c r="AB82">
        <v>94.5</v>
      </c>
      <c r="AC82">
        <v>97.92</v>
      </c>
      <c r="AD82">
        <v>91.08</v>
      </c>
      <c r="AE82">
        <v>0.621</v>
      </c>
      <c r="AF82">
        <v>0.07199999999999999</v>
      </c>
      <c r="AG82">
        <v>98.06999999999999</v>
      </c>
      <c r="AH82">
        <v>90.90000000000001</v>
      </c>
      <c r="AI82" t="b">
        <v>0</v>
      </c>
      <c r="AJ82">
        <v>2.306</v>
      </c>
      <c r="AK82">
        <v>91.87</v>
      </c>
      <c r="AL82">
        <v>91.18000000000001</v>
      </c>
      <c r="AM82">
        <v>91.08</v>
      </c>
      <c r="AN82">
        <v>84.84</v>
      </c>
      <c r="AO82">
        <v>91.87</v>
      </c>
      <c r="AP82" t="s">
        <v>280</v>
      </c>
      <c r="AQ82">
        <v>84.84</v>
      </c>
      <c r="AR82">
        <v>104.86</v>
      </c>
      <c r="AS82">
        <v>0.05</v>
      </c>
      <c r="AT82">
        <v>0.07000000000000001</v>
      </c>
      <c r="AU82">
        <v>60</v>
      </c>
      <c r="AV82">
        <v>0.9084839376035789</v>
      </c>
      <c r="AW82">
        <v>4</v>
      </c>
      <c r="AX82">
        <v>5.75</v>
      </c>
      <c r="AY82">
        <v>95</v>
      </c>
      <c r="AZ82">
        <v>1000</v>
      </c>
      <c r="BA82">
        <v>15000</v>
      </c>
      <c r="BD82">
        <v>12.78</v>
      </c>
      <c r="BE82">
        <v>11.87</v>
      </c>
      <c r="BF82">
        <v>3.27</v>
      </c>
      <c r="BG82">
        <v>0.42</v>
      </c>
      <c r="BH82">
        <v>0.36</v>
      </c>
      <c r="BI82">
        <v>-15.21</v>
      </c>
      <c r="BJ82">
        <v>-30.04</v>
      </c>
      <c r="BK82">
        <v>14.07</v>
      </c>
      <c r="BM82">
        <v>-0.83</v>
      </c>
      <c r="BN82" t="s">
        <v>296</v>
      </c>
      <c r="BO82" t="b">
        <v>0</v>
      </c>
      <c r="BP82" s="1">
        <f>IFERROR(RANK.EQ(AX82,AX$2:AX$213,0),"")</f>
        <v>0</v>
      </c>
      <c r="BQ82">
        <f>IFERROR(Y82/Z82,"")</f>
        <v>0</v>
      </c>
      <c r="BR82">
        <f>IFERROR(U82-V82,"")</f>
        <v>0</v>
      </c>
      <c r="BS82">
        <f>IFERROR(U82&gt;V82,"")</f>
        <v>0</v>
      </c>
      <c r="BT82">
        <f>IF(AND(ISNUMBER(D82),ISNUMBER(H82),D82&gt;=H82), OR(O82=TRUE,P82=TRUE), FALSE)</f>
        <v>0</v>
      </c>
      <c r="BU82">
        <f>AND(ISNUMBER(R82), R82&gt;=45, R82&lt;=60, W82=TRUE, E82&gt;=-20)</f>
        <v>0</v>
      </c>
      <c r="BV82">
        <f>OR(AI82=TRUE,AA82=TRUE)</f>
        <v>0</v>
      </c>
      <c r="BW82">
        <f>IFERROR( (AR82-D82) / MAX(D82-AQ82,1E-9) ,"")</f>
        <v>0</v>
      </c>
      <c r="BX82">
        <f>IFERROR(BW82&gt;=2, FALSE)</f>
        <v>0</v>
      </c>
      <c r="BY82" s="1">
        <f>IFERROR(ROUNDDOWN(MIN(IF(BA82&gt;0, BA82/D82, 1E99),IF(AZ82&gt;0, AZ82/MAX(D82-AQ82,1E-9), 1E99)),0),"")</f>
        <v>0</v>
      </c>
      <c r="BZ82" s="2">
        <f>IF(AND(ISNUMBER(D82),ISNUMBER(AT82)), D82*(1-AT82), "")</f>
        <v>0</v>
      </c>
      <c r="CA82">
        <f>AND(BT82=TRUE,BU82=TRUE,BV82=TRUE,BX82=TRUE)</f>
        <v>0</v>
      </c>
    </row>
    <row r="83" spans="1:79" x14ac:dyDescent="0.25">
      <c r="A83" t="s">
        <v>148</v>
      </c>
      <c r="B83">
        <f>HYPERLINK("data/charts/A.png", "Open")</f>
        <v>0</v>
      </c>
      <c r="C83" t="s">
        <v>279</v>
      </c>
      <c r="D83">
        <v>119.2</v>
      </c>
      <c r="E83">
        <v>-22.52</v>
      </c>
      <c r="F83">
        <v>23.61</v>
      </c>
      <c r="G83">
        <v>-4.4</v>
      </c>
      <c r="H83">
        <v>124.69</v>
      </c>
      <c r="I83">
        <v>-0.09379999999999999</v>
      </c>
      <c r="J83" t="b">
        <v>0</v>
      </c>
      <c r="K83">
        <v>117.63</v>
      </c>
      <c r="L83">
        <v>116.77</v>
      </c>
      <c r="M83">
        <v>116.98</v>
      </c>
      <c r="N83">
        <v>116.71</v>
      </c>
      <c r="O83" t="b">
        <v>1</v>
      </c>
      <c r="P83" t="b">
        <v>1</v>
      </c>
      <c r="Q83" t="b">
        <v>1</v>
      </c>
      <c r="R83">
        <v>55.55</v>
      </c>
      <c r="S83" t="b">
        <v>0</v>
      </c>
      <c r="T83" t="b">
        <v>0</v>
      </c>
      <c r="U83">
        <v>0.1544</v>
      </c>
      <c r="V83">
        <v>-0.2909</v>
      </c>
      <c r="W83" t="b">
        <v>1</v>
      </c>
      <c r="X83" t="b">
        <v>1</v>
      </c>
      <c r="Y83">
        <v>1238500</v>
      </c>
      <c r="Z83">
        <v>1423725</v>
      </c>
      <c r="AA83" t="b">
        <v>0</v>
      </c>
      <c r="AB83">
        <v>116.77</v>
      </c>
      <c r="AC83">
        <v>122.24</v>
      </c>
      <c r="AD83">
        <v>111.29</v>
      </c>
      <c r="AE83">
        <v>0.722</v>
      </c>
      <c r="AF83">
        <v>0.094</v>
      </c>
      <c r="AG83">
        <v>122.75</v>
      </c>
      <c r="AH83">
        <v>110.75</v>
      </c>
      <c r="AI83" t="b">
        <v>0</v>
      </c>
      <c r="AJ83">
        <v>2.296</v>
      </c>
      <c r="AK83">
        <v>115.76</v>
      </c>
      <c r="AL83">
        <v>111.19</v>
      </c>
      <c r="AM83">
        <v>111.29</v>
      </c>
      <c r="AN83">
        <v>106.09</v>
      </c>
      <c r="AO83">
        <v>115.76</v>
      </c>
      <c r="AP83" t="s">
        <v>280</v>
      </c>
      <c r="AQ83">
        <v>106.09</v>
      </c>
      <c r="AR83">
        <v>131.12</v>
      </c>
      <c r="AS83">
        <v>0.05</v>
      </c>
      <c r="AT83">
        <v>0.07000000000000001</v>
      </c>
      <c r="AU83">
        <v>60</v>
      </c>
      <c r="AV83">
        <v>0.9092300401607702</v>
      </c>
      <c r="AW83">
        <v>4</v>
      </c>
      <c r="AX83">
        <v>5.75</v>
      </c>
      <c r="AY83">
        <v>76</v>
      </c>
      <c r="AZ83">
        <v>1000</v>
      </c>
      <c r="BA83">
        <v>15000</v>
      </c>
      <c r="BD83">
        <v>29.36</v>
      </c>
      <c r="BE83">
        <v>21.1</v>
      </c>
      <c r="BF83">
        <v>83</v>
      </c>
      <c r="BG83">
        <v>0.24</v>
      </c>
      <c r="BH83">
        <v>0.57</v>
      </c>
      <c r="BI83">
        <v>-0.77</v>
      </c>
      <c r="BJ83">
        <v>-33.04</v>
      </c>
      <c r="BK83">
        <v>12.89</v>
      </c>
      <c r="BM83">
        <v>-0.97</v>
      </c>
      <c r="BN83" t="s">
        <v>296</v>
      </c>
      <c r="BO83" t="b">
        <v>0</v>
      </c>
      <c r="BP83" s="1">
        <f>IFERROR(RANK.EQ(AX83,AX$2:AX$213,0),"")</f>
        <v>0</v>
      </c>
      <c r="BQ83">
        <f>IFERROR(Y83/Z83,"")</f>
        <v>0</v>
      </c>
      <c r="BR83">
        <f>IFERROR(U83-V83,"")</f>
        <v>0</v>
      </c>
      <c r="BS83">
        <f>IFERROR(U83&gt;V83,"")</f>
        <v>0</v>
      </c>
      <c r="BT83">
        <f>IF(AND(ISNUMBER(D83),ISNUMBER(H83),D83&gt;=H83), OR(O83=TRUE,P83=TRUE), FALSE)</f>
        <v>0</v>
      </c>
      <c r="BU83">
        <f>AND(ISNUMBER(R83), R83&gt;=45, R83&lt;=60, W83=TRUE, E83&gt;=-20)</f>
        <v>0</v>
      </c>
      <c r="BV83">
        <f>OR(AI83=TRUE,AA83=TRUE)</f>
        <v>0</v>
      </c>
      <c r="BW83">
        <f>IFERROR( (AR83-D83) / MAX(D83-AQ83,1E-9) ,"")</f>
        <v>0</v>
      </c>
      <c r="BX83">
        <f>IFERROR(BW83&gt;=2, FALSE)</f>
        <v>0</v>
      </c>
      <c r="BY83" s="1">
        <f>IFERROR(ROUNDDOWN(MIN(IF(BA83&gt;0, BA83/D83, 1E99),IF(AZ83&gt;0, AZ83/MAX(D83-AQ83,1E-9), 1E99)),0),"")</f>
        <v>0</v>
      </c>
      <c r="BZ83" s="2">
        <f>IF(AND(ISNUMBER(D83),ISNUMBER(AT83)), D83*(1-AT83), "")</f>
        <v>0</v>
      </c>
      <c r="CA83">
        <f>AND(BT83=TRUE,BU83=TRUE,BV83=TRUE,BX83=TRUE)</f>
        <v>0</v>
      </c>
    </row>
    <row r="84" spans="1:79" x14ac:dyDescent="0.25">
      <c r="A84" t="s">
        <v>149</v>
      </c>
      <c r="B84">
        <f>HYPERLINK("data/charts/MS.png", "Open")</f>
        <v>0</v>
      </c>
      <c r="C84" t="s">
        <v>279</v>
      </c>
      <c r="D84">
        <v>144.63</v>
      </c>
      <c r="E84">
        <v>-2.98</v>
      </c>
      <c r="F84">
        <v>53.71</v>
      </c>
      <c r="G84">
        <v>12.13</v>
      </c>
      <c r="H84">
        <v>128.98</v>
      </c>
      <c r="I84">
        <v>0.1414</v>
      </c>
      <c r="J84" t="b">
        <v>1</v>
      </c>
      <c r="K84">
        <v>139.63</v>
      </c>
      <c r="L84">
        <v>143.01</v>
      </c>
      <c r="M84">
        <v>143.23</v>
      </c>
      <c r="N84">
        <v>139.18</v>
      </c>
      <c r="O84" t="b">
        <v>1</v>
      </c>
      <c r="P84" t="b">
        <v>1</v>
      </c>
      <c r="Q84" t="b">
        <v>1</v>
      </c>
      <c r="R84">
        <v>55.61</v>
      </c>
      <c r="S84" t="b">
        <v>0</v>
      </c>
      <c r="T84" t="b">
        <v>0</v>
      </c>
      <c r="U84">
        <v>1.8405</v>
      </c>
      <c r="V84">
        <v>1.5856</v>
      </c>
      <c r="W84" t="b">
        <v>1</v>
      </c>
      <c r="X84" t="b">
        <v>1</v>
      </c>
      <c r="Y84">
        <v>4985500</v>
      </c>
      <c r="Z84">
        <v>4890215</v>
      </c>
      <c r="AA84" t="b">
        <v>0</v>
      </c>
      <c r="AB84">
        <v>143.01</v>
      </c>
      <c r="AC84">
        <v>148.05</v>
      </c>
      <c r="AD84">
        <v>137.96</v>
      </c>
      <c r="AE84">
        <v>0.661</v>
      </c>
      <c r="AF84">
        <v>0.07099999999999999</v>
      </c>
      <c r="AG84">
        <v>149.08</v>
      </c>
      <c r="AH84">
        <v>136.17</v>
      </c>
      <c r="AI84" t="b">
        <v>0</v>
      </c>
      <c r="AJ84">
        <v>2.656</v>
      </c>
      <c r="AK84">
        <v>140.65</v>
      </c>
      <c r="AL84">
        <v>136.17</v>
      </c>
      <c r="AM84">
        <v>137.96</v>
      </c>
      <c r="AN84">
        <v>128.72</v>
      </c>
      <c r="AO84">
        <v>140.65</v>
      </c>
      <c r="AP84" t="s">
        <v>280</v>
      </c>
      <c r="AQ84">
        <v>128.72</v>
      </c>
      <c r="AR84">
        <v>159.09</v>
      </c>
      <c r="AS84">
        <v>0.05</v>
      </c>
      <c r="AT84">
        <v>0.07000000000000001</v>
      </c>
      <c r="AU84">
        <v>60</v>
      </c>
      <c r="AV84">
        <v>0.9088617648891211</v>
      </c>
      <c r="AW84">
        <v>4</v>
      </c>
      <c r="AX84">
        <v>5.75</v>
      </c>
      <c r="AY84">
        <v>62</v>
      </c>
      <c r="AZ84">
        <v>1000</v>
      </c>
      <c r="BA84">
        <v>15000</v>
      </c>
      <c r="BD84">
        <v>16.36</v>
      </c>
      <c r="BE84">
        <v>18.24</v>
      </c>
      <c r="BF84">
        <v>2.77</v>
      </c>
      <c r="BG84">
        <v>0.42</v>
      </c>
      <c r="BH84">
        <v>3.22</v>
      </c>
      <c r="BI84">
        <v>-5.53</v>
      </c>
      <c r="BJ84">
        <v>-17.94</v>
      </c>
      <c r="BK84">
        <v>22.68</v>
      </c>
      <c r="BM84">
        <v>1.08</v>
      </c>
      <c r="BN84" t="s">
        <v>291</v>
      </c>
      <c r="BO84" t="b">
        <v>0</v>
      </c>
      <c r="BP84" s="1">
        <f>IFERROR(RANK.EQ(AX84,AX$2:AX$213,0),"")</f>
        <v>0</v>
      </c>
      <c r="BQ84">
        <f>IFERROR(Y84/Z84,"")</f>
        <v>0</v>
      </c>
      <c r="BR84">
        <f>IFERROR(U84-V84,"")</f>
        <v>0</v>
      </c>
      <c r="BS84">
        <f>IFERROR(U84&gt;V84,"")</f>
        <v>0</v>
      </c>
      <c r="BT84">
        <f>IF(AND(ISNUMBER(D84),ISNUMBER(H84),D84&gt;=H84), OR(O84=TRUE,P84=TRUE), FALSE)</f>
        <v>0</v>
      </c>
      <c r="BU84">
        <f>AND(ISNUMBER(R84), R84&gt;=45, R84&lt;=60, W84=TRUE, E84&gt;=-20)</f>
        <v>0</v>
      </c>
      <c r="BV84">
        <f>OR(AI84=TRUE,AA84=TRUE)</f>
        <v>0</v>
      </c>
      <c r="BW84">
        <f>IFERROR( (AR84-D84) / MAX(D84-AQ84,1E-9) ,"")</f>
        <v>0</v>
      </c>
      <c r="BX84">
        <f>IFERROR(BW84&gt;=2, FALSE)</f>
        <v>0</v>
      </c>
      <c r="BY84" s="1">
        <f>IFERROR(ROUNDDOWN(MIN(IF(BA84&gt;0, BA84/D84, 1E99),IF(AZ84&gt;0, AZ84/MAX(D84-AQ84,1E-9), 1E99)),0),"")</f>
        <v>0</v>
      </c>
      <c r="BZ84" s="2">
        <f>IF(AND(ISNUMBER(D84),ISNUMBER(AT84)), D84*(1-AT84), "")</f>
        <v>0</v>
      </c>
      <c r="CA84">
        <f>AND(BT84=TRUE,BU84=TRUE,BV84=TRUE,BX84=TRUE)</f>
        <v>0</v>
      </c>
    </row>
    <row r="85" spans="1:79" x14ac:dyDescent="0.25">
      <c r="A85" t="s">
        <v>150</v>
      </c>
      <c r="B85">
        <f>HYPERLINK("data/charts/IVN_TO.png", "Open")</f>
        <v>0</v>
      </c>
      <c r="C85" t="s">
        <v>279</v>
      </c>
      <c r="D85">
        <v>11.51</v>
      </c>
      <c r="E85">
        <v>-45.06</v>
      </c>
      <c r="F85">
        <v>31.39</v>
      </c>
      <c r="G85">
        <v>-19.49</v>
      </c>
      <c r="H85">
        <v>14.3</v>
      </c>
      <c r="I85">
        <v>-0.2736</v>
      </c>
      <c r="J85" t="b">
        <v>0</v>
      </c>
      <c r="K85">
        <v>10.88</v>
      </c>
      <c r="L85">
        <v>11.33</v>
      </c>
      <c r="M85">
        <v>11.24</v>
      </c>
      <c r="N85">
        <v>11.29</v>
      </c>
      <c r="O85" t="b">
        <v>1</v>
      </c>
      <c r="P85" t="b">
        <v>1</v>
      </c>
      <c r="Q85" t="b">
        <v>1</v>
      </c>
      <c r="R85">
        <v>55.82</v>
      </c>
      <c r="S85" t="b">
        <v>0</v>
      </c>
      <c r="T85" t="b">
        <v>0</v>
      </c>
      <c r="U85">
        <v>0.119</v>
      </c>
      <c r="V85">
        <v>0.0979</v>
      </c>
      <c r="W85" t="b">
        <v>0</v>
      </c>
      <c r="X85" t="b">
        <v>1</v>
      </c>
      <c r="Y85">
        <v>1341100</v>
      </c>
      <c r="Z85">
        <v>2924725</v>
      </c>
      <c r="AA85" t="b">
        <v>0</v>
      </c>
      <c r="AB85">
        <v>11.33</v>
      </c>
      <c r="AC85">
        <v>12.01</v>
      </c>
      <c r="AD85">
        <v>10.65</v>
      </c>
      <c r="AE85">
        <v>0.633</v>
      </c>
      <c r="AF85">
        <v>0.119</v>
      </c>
      <c r="AG85">
        <v>12.4</v>
      </c>
      <c r="AH85">
        <v>10.51</v>
      </c>
      <c r="AI85" t="b">
        <v>0</v>
      </c>
      <c r="AJ85">
        <v>0.371</v>
      </c>
      <c r="AK85">
        <v>10.95</v>
      </c>
      <c r="AL85">
        <v>10.51</v>
      </c>
      <c r="AM85">
        <v>10.65</v>
      </c>
      <c r="AN85">
        <v>10.24</v>
      </c>
      <c r="AO85">
        <v>10.95</v>
      </c>
      <c r="AP85" t="s">
        <v>280</v>
      </c>
      <c r="AQ85">
        <v>10.24</v>
      </c>
      <c r="AR85">
        <v>12.66</v>
      </c>
      <c r="AS85">
        <v>0.05</v>
      </c>
      <c r="AT85">
        <v>0.07000000000000001</v>
      </c>
      <c r="AU85">
        <v>60</v>
      </c>
      <c r="AV85">
        <v>0.9055114676086907</v>
      </c>
      <c r="AW85">
        <v>4</v>
      </c>
      <c r="AX85">
        <v>5.75</v>
      </c>
      <c r="AY85">
        <v>787</v>
      </c>
      <c r="AZ85">
        <v>1000</v>
      </c>
      <c r="BA85">
        <v>15000</v>
      </c>
      <c r="BD85">
        <v>28.77</v>
      </c>
      <c r="BE85">
        <v>13.23</v>
      </c>
      <c r="BG85">
        <v>0</v>
      </c>
      <c r="BH85">
        <v>0.23</v>
      </c>
      <c r="BI85">
        <v>25.63</v>
      </c>
      <c r="BJ85">
        <v>-70</v>
      </c>
      <c r="BK85">
        <v>45.53</v>
      </c>
      <c r="BM85">
        <v>-0.68</v>
      </c>
      <c r="BN85" t="s">
        <v>311</v>
      </c>
      <c r="BO85" t="b">
        <v>0</v>
      </c>
      <c r="BP85" s="1">
        <f>IFERROR(RANK.EQ(AX85,AX$2:AX$213,0),"")</f>
        <v>0</v>
      </c>
      <c r="BQ85">
        <f>IFERROR(Y85/Z85,"")</f>
        <v>0</v>
      </c>
      <c r="BR85">
        <f>IFERROR(U85-V85,"")</f>
        <v>0</v>
      </c>
      <c r="BS85">
        <f>IFERROR(U85&gt;V85,"")</f>
        <v>0</v>
      </c>
      <c r="BT85">
        <f>IF(AND(ISNUMBER(D85),ISNUMBER(H85),D85&gt;=H85), OR(O85=TRUE,P85=TRUE), FALSE)</f>
        <v>0</v>
      </c>
      <c r="BU85">
        <f>AND(ISNUMBER(R85), R85&gt;=45, R85&lt;=60, W85=TRUE, E85&gt;=-20)</f>
        <v>0</v>
      </c>
      <c r="BV85">
        <f>OR(AI85=TRUE,AA85=TRUE)</f>
        <v>0</v>
      </c>
      <c r="BW85">
        <f>IFERROR( (AR85-D85) / MAX(D85-AQ85,1E-9) ,"")</f>
        <v>0</v>
      </c>
      <c r="BX85">
        <f>IFERROR(BW85&gt;=2, FALSE)</f>
        <v>0</v>
      </c>
      <c r="BY85" s="1">
        <f>IFERROR(ROUNDDOWN(MIN(IF(BA85&gt;0, BA85/D85, 1E99),IF(AZ85&gt;0, AZ85/MAX(D85-AQ85,1E-9), 1E99)),0),"")</f>
        <v>0</v>
      </c>
      <c r="BZ85" s="2">
        <f>IF(AND(ISNUMBER(D85),ISNUMBER(AT85)), D85*(1-AT85), "")</f>
        <v>0</v>
      </c>
      <c r="CA85">
        <f>AND(BT85=TRUE,BU85=TRUE,BV85=TRUE,BX85=TRUE)</f>
        <v>0</v>
      </c>
    </row>
    <row r="86" spans="1:79" x14ac:dyDescent="0.25">
      <c r="A86" t="s">
        <v>151</v>
      </c>
      <c r="B86">
        <f>HYPERLINK("data/charts/BLDR.png", "Open")</f>
        <v>0</v>
      </c>
      <c r="C86" t="s">
        <v>279</v>
      </c>
      <c r="D86">
        <v>136.88</v>
      </c>
      <c r="E86">
        <v>-32.62</v>
      </c>
      <c r="F86">
        <v>33.41</v>
      </c>
      <c r="G86">
        <v>-1.87</v>
      </c>
      <c r="H86">
        <v>139.48</v>
      </c>
      <c r="I86">
        <v>-0.2161</v>
      </c>
      <c r="J86" t="b">
        <v>0</v>
      </c>
      <c r="K86">
        <v>125.19</v>
      </c>
      <c r="L86">
        <v>132.51</v>
      </c>
      <c r="M86">
        <v>132.41</v>
      </c>
      <c r="N86">
        <v>127.73</v>
      </c>
      <c r="O86" t="b">
        <v>1</v>
      </c>
      <c r="P86" t="b">
        <v>1</v>
      </c>
      <c r="Q86" t="b">
        <v>1</v>
      </c>
      <c r="R86">
        <v>56.4</v>
      </c>
      <c r="S86" t="b">
        <v>0</v>
      </c>
      <c r="T86" t="b">
        <v>0</v>
      </c>
      <c r="U86">
        <v>3.2551</v>
      </c>
      <c r="V86">
        <v>2.8034</v>
      </c>
      <c r="W86" t="b">
        <v>1</v>
      </c>
      <c r="X86" t="b">
        <v>1</v>
      </c>
      <c r="Y86">
        <v>1351000</v>
      </c>
      <c r="Z86">
        <v>2265985</v>
      </c>
      <c r="AA86" t="b">
        <v>0</v>
      </c>
      <c r="AB86">
        <v>132.51</v>
      </c>
      <c r="AC86">
        <v>142.27</v>
      </c>
      <c r="AD86">
        <v>122.75</v>
      </c>
      <c r="AE86">
        <v>0.724</v>
      </c>
      <c r="AF86">
        <v>0.147</v>
      </c>
      <c r="AG86">
        <v>144.75</v>
      </c>
      <c r="AH86">
        <v>118.17</v>
      </c>
      <c r="AI86" t="b">
        <v>0</v>
      </c>
      <c r="AJ86">
        <v>5.985</v>
      </c>
      <c r="AK86">
        <v>127.9</v>
      </c>
      <c r="AL86">
        <v>126.36</v>
      </c>
      <c r="AM86">
        <v>122.75</v>
      </c>
      <c r="AN86">
        <v>121.82</v>
      </c>
      <c r="AO86">
        <v>127.9</v>
      </c>
      <c r="AP86" t="s">
        <v>280</v>
      </c>
      <c r="AQ86">
        <v>121.82</v>
      </c>
      <c r="AR86">
        <v>150.57</v>
      </c>
      <c r="AS86">
        <v>0.05</v>
      </c>
      <c r="AT86">
        <v>0.07000000000000001</v>
      </c>
      <c r="AU86">
        <v>60</v>
      </c>
      <c r="AV86">
        <v>0.9090299255355115</v>
      </c>
      <c r="AW86">
        <v>4</v>
      </c>
      <c r="AX86">
        <v>5.75</v>
      </c>
      <c r="AY86">
        <v>66</v>
      </c>
      <c r="AZ86">
        <v>1000</v>
      </c>
      <c r="BA86">
        <v>15000</v>
      </c>
      <c r="BD86">
        <v>20.71</v>
      </c>
      <c r="BE86">
        <v>11.75</v>
      </c>
      <c r="BG86">
        <v>0</v>
      </c>
      <c r="BH86">
        <v>1.27</v>
      </c>
      <c r="BI86">
        <v>15.76</v>
      </c>
      <c r="BJ86">
        <v>92.13</v>
      </c>
      <c r="BK86">
        <v>4.37</v>
      </c>
      <c r="BM86">
        <v>-0.45</v>
      </c>
      <c r="BN86" t="s">
        <v>299</v>
      </c>
      <c r="BO86" t="b">
        <v>0</v>
      </c>
      <c r="BP86" s="1">
        <f>IFERROR(RANK.EQ(AX86,AX$2:AX$213,0),"")</f>
        <v>0</v>
      </c>
      <c r="BQ86">
        <f>IFERROR(Y86/Z86,"")</f>
        <v>0</v>
      </c>
      <c r="BR86">
        <f>IFERROR(U86-V86,"")</f>
        <v>0</v>
      </c>
      <c r="BS86">
        <f>IFERROR(U86&gt;V86,"")</f>
        <v>0</v>
      </c>
      <c r="BT86">
        <f>IF(AND(ISNUMBER(D86),ISNUMBER(H86),D86&gt;=H86), OR(O86=TRUE,P86=TRUE), FALSE)</f>
        <v>0</v>
      </c>
      <c r="BU86">
        <f>AND(ISNUMBER(R86), R86&gt;=45, R86&lt;=60, W86=TRUE, E86&gt;=-20)</f>
        <v>0</v>
      </c>
      <c r="BV86">
        <f>OR(AI86=TRUE,AA86=TRUE)</f>
        <v>0</v>
      </c>
      <c r="BW86">
        <f>IFERROR( (AR86-D86) / MAX(D86-AQ86,1E-9) ,"")</f>
        <v>0</v>
      </c>
      <c r="BX86">
        <f>IFERROR(BW86&gt;=2, FALSE)</f>
        <v>0</v>
      </c>
      <c r="BY86" s="1">
        <f>IFERROR(ROUNDDOWN(MIN(IF(BA86&gt;0, BA86/D86, 1E99),IF(AZ86&gt;0, AZ86/MAX(D86-AQ86,1E-9), 1E99)),0),"")</f>
        <v>0</v>
      </c>
      <c r="BZ86" s="2">
        <f>IF(AND(ISNUMBER(D86),ISNUMBER(AT86)), D86*(1-AT86), "")</f>
        <v>0</v>
      </c>
      <c r="CA86">
        <f>AND(BT86=TRUE,BU86=TRUE,BV86=TRUE,BX86=TRUE)</f>
        <v>0</v>
      </c>
    </row>
    <row r="87" spans="1:79" x14ac:dyDescent="0.25">
      <c r="A87" t="s">
        <v>152</v>
      </c>
      <c r="B87">
        <f>HYPERLINK("data/charts/SYF.png", "Open")</f>
        <v>0</v>
      </c>
      <c r="C87" t="s">
        <v>279</v>
      </c>
      <c r="D87">
        <v>71.48999999999999</v>
      </c>
      <c r="E87">
        <v>-3.08</v>
      </c>
      <c r="F87">
        <v>76.31999999999999</v>
      </c>
      <c r="G87">
        <v>15.28</v>
      </c>
      <c r="H87">
        <v>62.02</v>
      </c>
      <c r="I87">
        <v>0.1502</v>
      </c>
      <c r="J87" t="b">
        <v>1</v>
      </c>
      <c r="K87">
        <v>67.59999999999999</v>
      </c>
      <c r="L87">
        <v>70.7</v>
      </c>
      <c r="M87">
        <v>70.34</v>
      </c>
      <c r="N87">
        <v>67.53</v>
      </c>
      <c r="O87" t="b">
        <v>1</v>
      </c>
      <c r="P87" t="b">
        <v>1</v>
      </c>
      <c r="Q87" t="b">
        <v>1</v>
      </c>
      <c r="R87">
        <v>56.71</v>
      </c>
      <c r="S87" t="b">
        <v>0</v>
      </c>
      <c r="T87" t="b">
        <v>0</v>
      </c>
      <c r="U87">
        <v>1.0177</v>
      </c>
      <c r="V87">
        <v>1.0189</v>
      </c>
      <c r="W87" t="b">
        <v>1</v>
      </c>
      <c r="X87" t="b">
        <v>1</v>
      </c>
      <c r="Y87">
        <v>2841800</v>
      </c>
      <c r="Z87">
        <v>3793425</v>
      </c>
      <c r="AA87" t="b">
        <v>0</v>
      </c>
      <c r="AB87">
        <v>70.7</v>
      </c>
      <c r="AC87">
        <v>73.84</v>
      </c>
      <c r="AD87">
        <v>67.55</v>
      </c>
      <c r="AE87">
        <v>0.626</v>
      </c>
      <c r="AF87">
        <v>0.089</v>
      </c>
      <c r="AG87">
        <v>73.76000000000001</v>
      </c>
      <c r="AH87">
        <v>66.28</v>
      </c>
      <c r="AI87" t="b">
        <v>0</v>
      </c>
      <c r="AJ87">
        <v>1.661</v>
      </c>
      <c r="AK87">
        <v>69</v>
      </c>
      <c r="AL87">
        <v>68.29000000000001</v>
      </c>
      <c r="AM87">
        <v>67.55</v>
      </c>
      <c r="AN87">
        <v>63.63</v>
      </c>
      <c r="AO87">
        <v>69</v>
      </c>
      <c r="AP87" t="s">
        <v>280</v>
      </c>
      <c r="AQ87">
        <v>63.63</v>
      </c>
      <c r="AR87">
        <v>78.64</v>
      </c>
      <c r="AS87">
        <v>0.05</v>
      </c>
      <c r="AT87">
        <v>0.07000000000000001</v>
      </c>
      <c r="AU87">
        <v>60</v>
      </c>
      <c r="AV87">
        <v>0.9096697302156064</v>
      </c>
      <c r="AW87">
        <v>4</v>
      </c>
      <c r="AX87">
        <v>5.75</v>
      </c>
      <c r="AY87">
        <v>127</v>
      </c>
      <c r="AZ87">
        <v>1000</v>
      </c>
      <c r="BA87">
        <v>15000</v>
      </c>
      <c r="BD87">
        <v>8.69</v>
      </c>
      <c r="BE87">
        <v>11.05</v>
      </c>
      <c r="BF87">
        <v>1.68</v>
      </c>
      <c r="BG87">
        <v>0.13</v>
      </c>
      <c r="BH87">
        <v>0.9399999999999999</v>
      </c>
      <c r="BI87">
        <v>-1.91</v>
      </c>
      <c r="BJ87">
        <v>31.41</v>
      </c>
      <c r="BK87">
        <v>26.51</v>
      </c>
      <c r="BM87">
        <v>0.17</v>
      </c>
      <c r="BN87" t="s">
        <v>312</v>
      </c>
      <c r="BO87" t="b">
        <v>0</v>
      </c>
      <c r="BP87" s="1">
        <f>IFERROR(RANK.EQ(AX87,AX$2:AX$213,0),"")</f>
        <v>0</v>
      </c>
      <c r="BQ87">
        <f>IFERROR(Y87/Z87,"")</f>
        <v>0</v>
      </c>
      <c r="BR87">
        <f>IFERROR(U87-V87,"")</f>
        <v>0</v>
      </c>
      <c r="BS87">
        <f>IFERROR(U87&gt;V87,"")</f>
        <v>0</v>
      </c>
      <c r="BT87">
        <f>IF(AND(ISNUMBER(D87),ISNUMBER(H87),D87&gt;=H87), OR(O87=TRUE,P87=TRUE), FALSE)</f>
        <v>0</v>
      </c>
      <c r="BU87">
        <f>AND(ISNUMBER(R87), R87&gt;=45, R87&lt;=60, W87=TRUE, E87&gt;=-20)</f>
        <v>0</v>
      </c>
      <c r="BV87">
        <f>OR(AI87=TRUE,AA87=TRUE)</f>
        <v>0</v>
      </c>
      <c r="BW87">
        <f>IFERROR( (AR87-D87) / MAX(D87-AQ87,1E-9) ,"")</f>
        <v>0</v>
      </c>
      <c r="BX87">
        <f>IFERROR(BW87&gt;=2, FALSE)</f>
        <v>0</v>
      </c>
      <c r="BY87" s="1">
        <f>IFERROR(ROUNDDOWN(MIN(IF(BA87&gt;0, BA87/D87, 1E99),IF(AZ87&gt;0, AZ87/MAX(D87-AQ87,1E-9), 1E99)),0),"")</f>
        <v>0</v>
      </c>
      <c r="BZ87" s="2">
        <f>IF(AND(ISNUMBER(D87),ISNUMBER(AT87)), D87*(1-AT87), "")</f>
        <v>0</v>
      </c>
      <c r="CA87">
        <f>AND(BT87=TRUE,BU87=TRUE,BV87=TRUE,BX87=TRUE)</f>
        <v>0</v>
      </c>
    </row>
    <row r="88" spans="1:79" x14ac:dyDescent="0.25">
      <c r="A88" t="s">
        <v>153</v>
      </c>
      <c r="B88">
        <f>HYPERLINK("data/charts/GS.png", "Open")</f>
        <v>0</v>
      </c>
      <c r="C88" t="s">
        <v>279</v>
      </c>
      <c r="D88">
        <v>730.72</v>
      </c>
      <c r="E88">
        <v>-2.45</v>
      </c>
      <c r="F88">
        <v>66.31</v>
      </c>
      <c r="G88">
        <v>20.07</v>
      </c>
      <c r="H88">
        <v>608.6</v>
      </c>
      <c r="I88">
        <v>0.1669</v>
      </c>
      <c r="J88" t="b">
        <v>1</v>
      </c>
      <c r="K88">
        <v>691.95</v>
      </c>
      <c r="L88">
        <v>724.48</v>
      </c>
      <c r="M88">
        <v>722.59</v>
      </c>
      <c r="N88">
        <v>692.22</v>
      </c>
      <c r="O88" t="b">
        <v>1</v>
      </c>
      <c r="P88" t="b">
        <v>1</v>
      </c>
      <c r="Q88" t="b">
        <v>1</v>
      </c>
      <c r="R88">
        <v>56.97</v>
      </c>
      <c r="S88" t="b">
        <v>0</v>
      </c>
      <c r="T88" t="b">
        <v>0</v>
      </c>
      <c r="U88">
        <v>12.3393</v>
      </c>
      <c r="V88">
        <v>13.0566</v>
      </c>
      <c r="W88" t="b">
        <v>1</v>
      </c>
      <c r="X88" t="b">
        <v>1</v>
      </c>
      <c r="Y88">
        <v>1645400</v>
      </c>
      <c r="Z88">
        <v>1871805</v>
      </c>
      <c r="AA88" t="b">
        <v>0</v>
      </c>
      <c r="AB88">
        <v>724.48</v>
      </c>
      <c r="AC88">
        <v>747.86</v>
      </c>
      <c r="AD88">
        <v>701.1</v>
      </c>
      <c r="AE88">
        <v>0.633</v>
      </c>
      <c r="AF88">
        <v>0.065</v>
      </c>
      <c r="AG88">
        <v>749.05</v>
      </c>
      <c r="AH88">
        <v>691.88</v>
      </c>
      <c r="AI88" t="b">
        <v>0</v>
      </c>
      <c r="AJ88">
        <v>14.079</v>
      </c>
      <c r="AK88">
        <v>709.6</v>
      </c>
      <c r="AL88">
        <v>715.74</v>
      </c>
      <c r="AM88">
        <v>701.1</v>
      </c>
      <c r="AN88">
        <v>650.34</v>
      </c>
      <c r="AO88">
        <v>715.74</v>
      </c>
      <c r="AP88" t="s">
        <v>282</v>
      </c>
      <c r="AQ88">
        <v>650.34</v>
      </c>
      <c r="AR88">
        <v>803.79</v>
      </c>
      <c r="AS88">
        <v>0.05</v>
      </c>
      <c r="AT88">
        <v>0.07000000000000001</v>
      </c>
      <c r="AU88">
        <v>60</v>
      </c>
      <c r="AV88">
        <v>0.9090576751607872</v>
      </c>
      <c r="AW88">
        <v>4</v>
      </c>
      <c r="AX88">
        <v>5.75</v>
      </c>
      <c r="AY88">
        <v>12</v>
      </c>
      <c r="AZ88">
        <v>1000</v>
      </c>
      <c r="BA88">
        <v>15000</v>
      </c>
      <c r="BD88">
        <v>16.1</v>
      </c>
      <c r="BE88">
        <v>17.58</v>
      </c>
      <c r="BF88">
        <v>2.19</v>
      </c>
      <c r="BG88">
        <v>0.26</v>
      </c>
      <c r="BH88">
        <v>3.01</v>
      </c>
      <c r="BI88">
        <v>-3.18</v>
      </c>
      <c r="BJ88">
        <v>-22.6</v>
      </c>
      <c r="BK88">
        <v>25.53</v>
      </c>
      <c r="BM88">
        <v>0.72</v>
      </c>
      <c r="BN88" t="s">
        <v>291</v>
      </c>
      <c r="BO88" t="b">
        <v>0</v>
      </c>
      <c r="BP88" s="1">
        <f>IFERROR(RANK.EQ(AX88,AX$2:AX$213,0),"")</f>
        <v>0</v>
      </c>
      <c r="BQ88">
        <f>IFERROR(Y88/Z88,"")</f>
        <v>0</v>
      </c>
      <c r="BR88">
        <f>IFERROR(U88-V88,"")</f>
        <v>0</v>
      </c>
      <c r="BS88">
        <f>IFERROR(U88&gt;V88,"")</f>
        <v>0</v>
      </c>
      <c r="BT88">
        <f>IF(AND(ISNUMBER(D88),ISNUMBER(H88),D88&gt;=H88), OR(O88=TRUE,P88=TRUE), FALSE)</f>
        <v>0</v>
      </c>
      <c r="BU88">
        <f>AND(ISNUMBER(R88), R88&gt;=45, R88&lt;=60, W88=TRUE, E88&gt;=-20)</f>
        <v>0</v>
      </c>
      <c r="BV88">
        <f>OR(AI88=TRUE,AA88=TRUE)</f>
        <v>0</v>
      </c>
      <c r="BW88">
        <f>IFERROR( (AR88-D88) / MAX(D88-AQ88,1E-9) ,"")</f>
        <v>0</v>
      </c>
      <c r="BX88">
        <f>IFERROR(BW88&gt;=2, FALSE)</f>
        <v>0</v>
      </c>
      <c r="BY88" s="1">
        <f>IFERROR(ROUNDDOWN(MIN(IF(BA88&gt;0, BA88/D88, 1E99),IF(AZ88&gt;0, AZ88/MAX(D88-AQ88,1E-9), 1E99)),0),"")</f>
        <v>0</v>
      </c>
      <c r="BZ88" s="2">
        <f>IF(AND(ISNUMBER(D88),ISNUMBER(AT88)), D88*(1-AT88), "")</f>
        <v>0</v>
      </c>
      <c r="CA88">
        <f>AND(BT88=TRUE,BU88=TRUE,BV88=TRUE,BX88=TRUE)</f>
        <v>0</v>
      </c>
    </row>
    <row r="89" spans="1:79" x14ac:dyDescent="0.25">
      <c r="A89" t="s">
        <v>154</v>
      </c>
      <c r="B89">
        <f>HYPERLINK("data/charts/TROW.png", "Open")</f>
        <v>0</v>
      </c>
      <c r="C89" t="s">
        <v>279</v>
      </c>
      <c r="D89">
        <v>107.04</v>
      </c>
      <c r="E89">
        <v>-14.92</v>
      </c>
      <c r="F89">
        <v>37.5</v>
      </c>
      <c r="G89">
        <v>2.94</v>
      </c>
      <c r="H89">
        <v>103.99</v>
      </c>
      <c r="I89">
        <v>-0.0301</v>
      </c>
      <c r="J89" t="b">
        <v>0</v>
      </c>
      <c r="K89">
        <v>100.83</v>
      </c>
      <c r="L89">
        <v>105.87</v>
      </c>
      <c r="M89">
        <v>105.36</v>
      </c>
      <c r="N89">
        <v>102.13</v>
      </c>
      <c r="O89" t="b">
        <v>1</v>
      </c>
      <c r="P89" t="b">
        <v>1</v>
      </c>
      <c r="Q89" t="b">
        <v>1</v>
      </c>
      <c r="R89">
        <v>57.08</v>
      </c>
      <c r="S89" t="b">
        <v>0</v>
      </c>
      <c r="T89" t="b">
        <v>0</v>
      </c>
      <c r="U89">
        <v>1.7971</v>
      </c>
      <c r="V89">
        <v>1.7544</v>
      </c>
      <c r="W89" t="b">
        <v>1</v>
      </c>
      <c r="X89" t="b">
        <v>1</v>
      </c>
      <c r="Y89">
        <v>1205900</v>
      </c>
      <c r="Z89">
        <v>1513170</v>
      </c>
      <c r="AA89" t="b">
        <v>0</v>
      </c>
      <c r="AB89">
        <v>105.87</v>
      </c>
      <c r="AC89">
        <v>109.77</v>
      </c>
      <c r="AD89">
        <v>101.97</v>
      </c>
      <c r="AE89">
        <v>0.65</v>
      </c>
      <c r="AF89">
        <v>0.074</v>
      </c>
      <c r="AG89">
        <v>110.16</v>
      </c>
      <c r="AH89">
        <v>99.59999999999999</v>
      </c>
      <c r="AI89" t="b">
        <v>0</v>
      </c>
      <c r="AJ89">
        <v>2.144</v>
      </c>
      <c r="AK89">
        <v>103.82</v>
      </c>
      <c r="AL89">
        <v>103.77</v>
      </c>
      <c r="AM89">
        <v>101.97</v>
      </c>
      <c r="AN89">
        <v>95.27</v>
      </c>
      <c r="AO89">
        <v>103.82</v>
      </c>
      <c r="AP89" t="s">
        <v>280</v>
      </c>
      <c r="AQ89">
        <v>95.27</v>
      </c>
      <c r="AR89">
        <v>117.74</v>
      </c>
      <c r="AS89">
        <v>0.05</v>
      </c>
      <c r="AT89">
        <v>0.07000000000000001</v>
      </c>
      <c r="AU89">
        <v>60</v>
      </c>
      <c r="AV89">
        <v>0.9090907605926252</v>
      </c>
      <c r="AW89">
        <v>4</v>
      </c>
      <c r="AX89">
        <v>5.75</v>
      </c>
      <c r="AY89">
        <v>84</v>
      </c>
      <c r="AZ89">
        <v>1000</v>
      </c>
      <c r="BA89">
        <v>15000</v>
      </c>
      <c r="BD89">
        <v>11.99</v>
      </c>
      <c r="BE89">
        <v>11.45</v>
      </c>
      <c r="BF89">
        <v>4.75</v>
      </c>
      <c r="BG89">
        <v>0.5600000000000001</v>
      </c>
      <c r="BH89">
        <v>0.04</v>
      </c>
      <c r="BI89">
        <v>-2.3</v>
      </c>
      <c r="BJ89">
        <v>3</v>
      </c>
      <c r="BK89">
        <v>29.32</v>
      </c>
      <c r="BM89">
        <v>2.66</v>
      </c>
      <c r="BN89" t="s">
        <v>315</v>
      </c>
      <c r="BO89" t="b">
        <v>0</v>
      </c>
      <c r="BP89" s="1">
        <f>IFERROR(RANK.EQ(AX89,AX$2:AX$213,0),"")</f>
        <v>0</v>
      </c>
      <c r="BQ89">
        <f>IFERROR(Y89/Z89,"")</f>
        <v>0</v>
      </c>
      <c r="BR89">
        <f>IFERROR(U89-V89,"")</f>
        <v>0</v>
      </c>
      <c r="BS89">
        <f>IFERROR(U89&gt;V89,"")</f>
        <v>0</v>
      </c>
      <c r="BT89">
        <f>IF(AND(ISNUMBER(D89),ISNUMBER(H89),D89&gt;=H89), OR(O89=TRUE,P89=TRUE), FALSE)</f>
        <v>0</v>
      </c>
      <c r="BU89">
        <f>AND(ISNUMBER(R89), R89&gt;=45, R89&lt;=60, W89=TRUE, E89&gt;=-20)</f>
        <v>0</v>
      </c>
      <c r="BV89">
        <f>OR(AI89=TRUE,AA89=TRUE)</f>
        <v>0</v>
      </c>
      <c r="BW89">
        <f>IFERROR( (AR89-D89) / MAX(D89-AQ89,1E-9) ,"")</f>
        <v>0</v>
      </c>
      <c r="BX89">
        <f>IFERROR(BW89&gt;=2, FALSE)</f>
        <v>0</v>
      </c>
      <c r="BY89" s="1">
        <f>IFERROR(ROUNDDOWN(MIN(IF(BA89&gt;0, BA89/D89, 1E99),IF(AZ89&gt;0, AZ89/MAX(D89-AQ89,1E-9), 1E99)),0),"")</f>
        <v>0</v>
      </c>
      <c r="BZ89" s="2">
        <f>IF(AND(ISNUMBER(D89),ISNUMBER(AT89)), D89*(1-AT89), "")</f>
        <v>0</v>
      </c>
      <c r="CA89">
        <f>AND(BT89=TRUE,BU89=TRUE,BV89=TRUE,BX89=TRUE)</f>
        <v>0</v>
      </c>
    </row>
    <row r="90" spans="1:79" x14ac:dyDescent="0.25">
      <c r="A90" t="s">
        <v>155</v>
      </c>
      <c r="B90">
        <f>HYPERLINK("data/charts/BLK.png", "Open")</f>
        <v>0</v>
      </c>
      <c r="C90" t="s">
        <v>279</v>
      </c>
      <c r="D90">
        <v>1135.01</v>
      </c>
      <c r="E90">
        <v>-3.15</v>
      </c>
      <c r="F90">
        <v>46.69</v>
      </c>
      <c r="G90">
        <v>13.29</v>
      </c>
      <c r="H90">
        <v>1001.84</v>
      </c>
      <c r="I90">
        <v>0.074</v>
      </c>
      <c r="J90" t="b">
        <v>1</v>
      </c>
      <c r="K90">
        <v>1069.73</v>
      </c>
      <c r="L90">
        <v>1121.7</v>
      </c>
      <c r="M90">
        <v>1119.3</v>
      </c>
      <c r="N90">
        <v>1077.79</v>
      </c>
      <c r="O90" t="b">
        <v>1</v>
      </c>
      <c r="P90" t="b">
        <v>1</v>
      </c>
      <c r="Q90" t="b">
        <v>1</v>
      </c>
      <c r="R90">
        <v>58.15</v>
      </c>
      <c r="S90" t="b">
        <v>0</v>
      </c>
      <c r="T90" t="b">
        <v>0</v>
      </c>
      <c r="U90">
        <v>21.0313</v>
      </c>
      <c r="V90">
        <v>20.7444</v>
      </c>
      <c r="W90" t="b">
        <v>1</v>
      </c>
      <c r="X90" t="b">
        <v>1</v>
      </c>
      <c r="Y90">
        <v>580200</v>
      </c>
      <c r="Z90">
        <v>500135</v>
      </c>
      <c r="AA90" t="b">
        <v>0</v>
      </c>
      <c r="AB90">
        <v>1121.7</v>
      </c>
      <c r="AC90">
        <v>1160.08</v>
      </c>
      <c r="AD90">
        <v>1083.32</v>
      </c>
      <c r="AE90">
        <v>0.673</v>
      </c>
      <c r="AF90">
        <v>0.068</v>
      </c>
      <c r="AG90">
        <v>1171.89</v>
      </c>
      <c r="AH90">
        <v>1077.2</v>
      </c>
      <c r="AI90" t="b">
        <v>0</v>
      </c>
      <c r="AJ90">
        <v>19.71</v>
      </c>
      <c r="AK90">
        <v>1105.44</v>
      </c>
      <c r="AL90">
        <v>1077.2</v>
      </c>
      <c r="AM90">
        <v>1083.32</v>
      </c>
      <c r="AN90">
        <v>1010.16</v>
      </c>
      <c r="AO90">
        <v>1105.44</v>
      </c>
      <c r="AP90" t="s">
        <v>280</v>
      </c>
      <c r="AQ90">
        <v>1010.16</v>
      </c>
      <c r="AR90">
        <v>1248.51</v>
      </c>
      <c r="AS90">
        <v>0.05</v>
      </c>
      <c r="AT90">
        <v>0.07000000000000001</v>
      </c>
      <c r="AU90">
        <v>60</v>
      </c>
      <c r="AV90">
        <v>0.9090907597640009</v>
      </c>
      <c r="AW90">
        <v>4</v>
      </c>
      <c r="AX90">
        <v>5.75</v>
      </c>
      <c r="AY90">
        <v>8</v>
      </c>
      <c r="AZ90">
        <v>1000</v>
      </c>
      <c r="BA90">
        <v>15000</v>
      </c>
      <c r="BD90">
        <v>27.48</v>
      </c>
      <c r="BE90">
        <v>23.12</v>
      </c>
      <c r="BF90">
        <v>1.84</v>
      </c>
      <c r="BG90">
        <v>0.5</v>
      </c>
      <c r="BH90">
        <v>0.29</v>
      </c>
      <c r="BI90">
        <v>2.79</v>
      </c>
      <c r="BJ90">
        <v>5.65</v>
      </c>
      <c r="BK90">
        <v>29.37</v>
      </c>
      <c r="BM90">
        <v>4.16</v>
      </c>
      <c r="BN90" t="s">
        <v>290</v>
      </c>
      <c r="BO90" t="b">
        <v>0</v>
      </c>
      <c r="BP90" s="1">
        <f>IFERROR(RANK.EQ(AX90,AX$2:AX$213,0),"")</f>
        <v>0</v>
      </c>
      <c r="BQ90">
        <f>IFERROR(Y90/Z90,"")</f>
        <v>0</v>
      </c>
      <c r="BR90">
        <f>IFERROR(U90-V90,"")</f>
        <v>0</v>
      </c>
      <c r="BS90">
        <f>IFERROR(U90&gt;V90,"")</f>
        <v>0</v>
      </c>
      <c r="BT90">
        <f>IF(AND(ISNUMBER(D90),ISNUMBER(H90),D90&gt;=H90), OR(O90=TRUE,P90=TRUE), FALSE)</f>
        <v>0</v>
      </c>
      <c r="BU90">
        <f>AND(ISNUMBER(R90), R90&gt;=45, R90&lt;=60, W90=TRUE, E90&gt;=-20)</f>
        <v>0</v>
      </c>
      <c r="BV90">
        <f>OR(AI90=TRUE,AA90=TRUE)</f>
        <v>0</v>
      </c>
      <c r="BW90">
        <f>IFERROR( (AR90-D90) / MAX(D90-AQ90,1E-9) ,"")</f>
        <v>0</v>
      </c>
      <c r="BX90">
        <f>IFERROR(BW90&gt;=2, FALSE)</f>
        <v>0</v>
      </c>
      <c r="BY90" s="1">
        <f>IFERROR(ROUNDDOWN(MIN(IF(BA90&gt;0, BA90/D90, 1E99),IF(AZ90&gt;0, AZ90/MAX(D90-AQ90,1E-9), 1E99)),0),"")</f>
        <v>0</v>
      </c>
      <c r="BZ90" s="2">
        <f>IF(AND(ISNUMBER(D90),ISNUMBER(AT90)), D90*(1-AT90), "")</f>
        <v>0</v>
      </c>
      <c r="CA90">
        <f>AND(BT90=TRUE,BU90=TRUE,BV90=TRUE,BX90=TRUE)</f>
        <v>0</v>
      </c>
    </row>
    <row r="91" spans="1:79" x14ac:dyDescent="0.25">
      <c r="A91" t="s">
        <v>156</v>
      </c>
      <c r="B91">
        <f>HYPERLINK("data/charts/AOS.png", "Open")</f>
        <v>0</v>
      </c>
      <c r="C91" t="s">
        <v>279</v>
      </c>
      <c r="D91">
        <v>72.20999999999999</v>
      </c>
      <c r="E91">
        <v>-21.56</v>
      </c>
      <c r="F91">
        <v>22.74</v>
      </c>
      <c r="G91">
        <v>5.36</v>
      </c>
      <c r="H91">
        <v>68.53</v>
      </c>
      <c r="I91">
        <v>-0.1075</v>
      </c>
      <c r="J91" t="b">
        <v>0</v>
      </c>
      <c r="K91">
        <v>68.31</v>
      </c>
      <c r="L91">
        <v>71.26000000000001</v>
      </c>
      <c r="M91">
        <v>70.90000000000001</v>
      </c>
      <c r="N91">
        <v>69.31999999999999</v>
      </c>
      <c r="O91" t="b">
        <v>1</v>
      </c>
      <c r="P91" t="b">
        <v>1</v>
      </c>
      <c r="Q91" t="b">
        <v>1</v>
      </c>
      <c r="R91">
        <v>58.48</v>
      </c>
      <c r="S91" t="b">
        <v>0</v>
      </c>
      <c r="T91" t="b">
        <v>0</v>
      </c>
      <c r="U91">
        <v>0.9417</v>
      </c>
      <c r="V91">
        <v>0.9211</v>
      </c>
      <c r="W91" t="b">
        <v>1</v>
      </c>
      <c r="X91" t="b">
        <v>1</v>
      </c>
      <c r="Y91">
        <v>1251600</v>
      </c>
      <c r="Z91">
        <v>1513505</v>
      </c>
      <c r="AA91" t="b">
        <v>0</v>
      </c>
      <c r="AB91">
        <v>71.26000000000001</v>
      </c>
      <c r="AC91">
        <v>73.52</v>
      </c>
      <c r="AD91">
        <v>69</v>
      </c>
      <c r="AE91">
        <v>0.711</v>
      </c>
      <c r="AF91">
        <v>0.063</v>
      </c>
      <c r="AG91">
        <v>77.31</v>
      </c>
      <c r="AH91">
        <v>69.02</v>
      </c>
      <c r="AI91" t="b">
        <v>0</v>
      </c>
      <c r="AJ91">
        <v>1.171</v>
      </c>
      <c r="AK91">
        <v>70.45</v>
      </c>
      <c r="AL91">
        <v>69.53</v>
      </c>
      <c r="AM91">
        <v>69</v>
      </c>
      <c r="AN91">
        <v>64.27</v>
      </c>
      <c r="AO91">
        <v>70.45</v>
      </c>
      <c r="AP91" t="s">
        <v>280</v>
      </c>
      <c r="AQ91">
        <v>64.27</v>
      </c>
      <c r="AR91">
        <v>79.43000000000001</v>
      </c>
      <c r="AS91">
        <v>0.05</v>
      </c>
      <c r="AT91">
        <v>0.07000000000000001</v>
      </c>
      <c r="AU91">
        <v>60</v>
      </c>
      <c r="AV91">
        <v>0.9093201193998464</v>
      </c>
      <c r="AW91">
        <v>4</v>
      </c>
      <c r="AX91">
        <v>5.75</v>
      </c>
      <c r="AY91">
        <v>125</v>
      </c>
      <c r="AZ91">
        <v>1000</v>
      </c>
      <c r="BA91">
        <v>15000</v>
      </c>
      <c r="BD91">
        <v>20.11</v>
      </c>
      <c r="BE91">
        <v>17.74</v>
      </c>
      <c r="BF91">
        <v>1.88</v>
      </c>
      <c r="BG91">
        <v>0.37</v>
      </c>
      <c r="BH91">
        <v>0.18</v>
      </c>
      <c r="BI91">
        <v>4.92</v>
      </c>
      <c r="BJ91">
        <v>12.63</v>
      </c>
      <c r="BK91">
        <v>15.05</v>
      </c>
      <c r="BM91">
        <v>-7.74</v>
      </c>
      <c r="BN91" t="s">
        <v>290</v>
      </c>
      <c r="BO91" t="b">
        <v>0</v>
      </c>
      <c r="BP91" s="1">
        <f>IFERROR(RANK.EQ(AX91,AX$2:AX$213,0),"")</f>
        <v>0</v>
      </c>
      <c r="BQ91">
        <f>IFERROR(Y91/Z91,"")</f>
        <v>0</v>
      </c>
      <c r="BR91">
        <f>IFERROR(U91-V91,"")</f>
        <v>0</v>
      </c>
      <c r="BS91">
        <f>IFERROR(U91&gt;V91,"")</f>
        <v>0</v>
      </c>
      <c r="BT91">
        <f>IF(AND(ISNUMBER(D91),ISNUMBER(H91),D91&gt;=H91), OR(O91=TRUE,P91=TRUE), FALSE)</f>
        <v>0</v>
      </c>
      <c r="BU91">
        <f>AND(ISNUMBER(R91), R91&gt;=45, R91&lt;=60, W91=TRUE, E91&gt;=-20)</f>
        <v>0</v>
      </c>
      <c r="BV91">
        <f>OR(AI91=TRUE,AA91=TRUE)</f>
        <v>0</v>
      </c>
      <c r="BW91">
        <f>IFERROR( (AR91-D91) / MAX(D91-AQ91,1E-9) ,"")</f>
        <v>0</v>
      </c>
      <c r="BX91">
        <f>IFERROR(BW91&gt;=2, FALSE)</f>
        <v>0</v>
      </c>
      <c r="BY91" s="1">
        <f>IFERROR(ROUNDDOWN(MIN(IF(BA91&gt;0, BA91/D91, 1E99),IF(AZ91&gt;0, AZ91/MAX(D91-AQ91,1E-9), 1E99)),0),"")</f>
        <v>0</v>
      </c>
      <c r="BZ91" s="2">
        <f>IF(AND(ISNUMBER(D91),ISNUMBER(AT91)), D91*(1-AT91), "")</f>
        <v>0</v>
      </c>
      <c r="CA91">
        <f>AND(BT91=TRUE,BU91=TRUE,BV91=TRUE,BX91=TRUE)</f>
        <v>0</v>
      </c>
    </row>
    <row r="92" spans="1:79" x14ac:dyDescent="0.25">
      <c r="A92" t="s">
        <v>157</v>
      </c>
      <c r="B92">
        <f>HYPERLINK("data/charts/BMY.png", "Open")</f>
        <v>0</v>
      </c>
      <c r="C92" t="s">
        <v>279</v>
      </c>
      <c r="D92">
        <v>48.44</v>
      </c>
      <c r="E92">
        <v>-23.51</v>
      </c>
      <c r="F92">
        <v>12.76</v>
      </c>
      <c r="G92">
        <v>-9.109999999999999</v>
      </c>
      <c r="H92">
        <v>53.29</v>
      </c>
      <c r="I92">
        <v>-0.0342</v>
      </c>
      <c r="J92" t="b">
        <v>0</v>
      </c>
      <c r="K92">
        <v>47.26</v>
      </c>
      <c r="L92">
        <v>46.65</v>
      </c>
      <c r="M92">
        <v>46.75</v>
      </c>
      <c r="N92">
        <v>47.36</v>
      </c>
      <c r="O92" t="b">
        <v>1</v>
      </c>
      <c r="P92" t="b">
        <v>1</v>
      </c>
      <c r="Q92" t="b">
        <v>1</v>
      </c>
      <c r="R92">
        <v>58.63</v>
      </c>
      <c r="S92" t="b">
        <v>0</v>
      </c>
      <c r="T92" t="b">
        <v>0</v>
      </c>
      <c r="U92">
        <v>0.0128</v>
      </c>
      <c r="V92">
        <v>-0.3201</v>
      </c>
      <c r="W92" t="b">
        <v>1</v>
      </c>
      <c r="X92" t="b">
        <v>1</v>
      </c>
      <c r="Y92">
        <v>11208000</v>
      </c>
      <c r="Z92">
        <v>12742080</v>
      </c>
      <c r="AA92" t="b">
        <v>0</v>
      </c>
      <c r="AB92">
        <v>46.65</v>
      </c>
      <c r="AC92">
        <v>49.75</v>
      </c>
      <c r="AD92">
        <v>43.54</v>
      </c>
      <c r="AE92">
        <v>0.789</v>
      </c>
      <c r="AF92">
        <v>0.133</v>
      </c>
      <c r="AG92">
        <v>49.28</v>
      </c>
      <c r="AH92">
        <v>42.96</v>
      </c>
      <c r="AI92" t="b">
        <v>0</v>
      </c>
      <c r="AJ92">
        <v>1.144</v>
      </c>
      <c r="AK92">
        <v>46.72</v>
      </c>
      <c r="AL92">
        <v>42.96</v>
      </c>
      <c r="AM92">
        <v>43.54</v>
      </c>
      <c r="AN92">
        <v>43.11</v>
      </c>
      <c r="AO92">
        <v>46.72</v>
      </c>
      <c r="AP92" t="s">
        <v>280</v>
      </c>
      <c r="AQ92">
        <v>43.11</v>
      </c>
      <c r="AR92">
        <v>53.28</v>
      </c>
      <c r="AS92">
        <v>0.05</v>
      </c>
      <c r="AT92">
        <v>0.07000000000000001</v>
      </c>
      <c r="AU92">
        <v>60</v>
      </c>
      <c r="AV92">
        <v>0.9080680338335251</v>
      </c>
      <c r="AW92">
        <v>4</v>
      </c>
      <c r="AX92">
        <v>5.75</v>
      </c>
      <c r="AY92">
        <v>187</v>
      </c>
      <c r="AZ92">
        <v>1000</v>
      </c>
      <c r="BA92">
        <v>15000</v>
      </c>
      <c r="BD92">
        <v>19.45</v>
      </c>
      <c r="BE92">
        <v>6.89</v>
      </c>
      <c r="BF92">
        <v>5.12</v>
      </c>
      <c r="BG92">
        <v>0.99</v>
      </c>
      <c r="BH92">
        <v>2.91</v>
      </c>
      <c r="BI92">
        <v>9.529999999999999</v>
      </c>
      <c r="BJ92">
        <v>-46.66</v>
      </c>
      <c r="BK92">
        <v>10.68</v>
      </c>
      <c r="BM92">
        <v>-0.88</v>
      </c>
      <c r="BN92" t="s">
        <v>295</v>
      </c>
      <c r="BO92" t="b">
        <v>0</v>
      </c>
      <c r="BP92" s="1">
        <f>IFERROR(RANK.EQ(AX92,AX$2:AX$213,0),"")</f>
        <v>0</v>
      </c>
      <c r="BQ92">
        <f>IFERROR(Y92/Z92,"")</f>
        <v>0</v>
      </c>
      <c r="BR92">
        <f>IFERROR(U92-V92,"")</f>
        <v>0</v>
      </c>
      <c r="BS92">
        <f>IFERROR(U92&gt;V92,"")</f>
        <v>0</v>
      </c>
      <c r="BT92">
        <f>IF(AND(ISNUMBER(D92),ISNUMBER(H92),D92&gt;=H92), OR(O92=TRUE,P92=TRUE), FALSE)</f>
        <v>0</v>
      </c>
      <c r="BU92">
        <f>AND(ISNUMBER(R92), R92&gt;=45, R92&lt;=60, W92=TRUE, E92&gt;=-20)</f>
        <v>0</v>
      </c>
      <c r="BV92">
        <f>OR(AI92=TRUE,AA92=TRUE)</f>
        <v>0</v>
      </c>
      <c r="BW92">
        <f>IFERROR( (AR92-D92) / MAX(D92-AQ92,1E-9) ,"")</f>
        <v>0</v>
      </c>
      <c r="BX92">
        <f>IFERROR(BW92&gt;=2, FALSE)</f>
        <v>0</v>
      </c>
      <c r="BY92" s="1">
        <f>IFERROR(ROUNDDOWN(MIN(IF(BA92&gt;0, BA92/D92, 1E99),IF(AZ92&gt;0, AZ92/MAX(D92-AQ92,1E-9), 1E99)),0),"")</f>
        <v>0</v>
      </c>
      <c r="BZ92" s="2">
        <f>IF(AND(ISNUMBER(D92),ISNUMBER(AT92)), D92*(1-AT92), "")</f>
        <v>0</v>
      </c>
      <c r="CA92">
        <f>AND(BT92=TRUE,BU92=TRUE,BV92=TRUE,BX92=TRUE)</f>
        <v>0</v>
      </c>
    </row>
    <row r="93" spans="1:79" x14ac:dyDescent="0.25">
      <c r="A93" t="s">
        <v>158</v>
      </c>
      <c r="B93">
        <f>HYPERLINK("data/charts/TD_TO.png", "Open")</f>
        <v>0</v>
      </c>
      <c r="C93" t="s">
        <v>279</v>
      </c>
      <c r="D93">
        <v>102.35</v>
      </c>
      <c r="E93">
        <v>-0.74</v>
      </c>
      <c r="F93">
        <v>39.78</v>
      </c>
      <c r="G93">
        <v>17.38</v>
      </c>
      <c r="H93">
        <v>87.19</v>
      </c>
      <c r="I93">
        <v>0.09760000000000001</v>
      </c>
      <c r="J93" t="b">
        <v>1</v>
      </c>
      <c r="K93">
        <v>99.98</v>
      </c>
      <c r="L93">
        <v>101.52</v>
      </c>
      <c r="M93">
        <v>101.3</v>
      </c>
      <c r="N93">
        <v>99.22</v>
      </c>
      <c r="O93" t="b">
        <v>1</v>
      </c>
      <c r="P93" t="b">
        <v>1</v>
      </c>
      <c r="Q93" t="b">
        <v>1</v>
      </c>
      <c r="R93">
        <v>59.31</v>
      </c>
      <c r="S93" t="b">
        <v>0</v>
      </c>
      <c r="T93" t="b">
        <v>0</v>
      </c>
      <c r="U93">
        <v>0.5665</v>
      </c>
      <c r="V93">
        <v>0.5634</v>
      </c>
      <c r="W93" t="b">
        <v>1</v>
      </c>
      <c r="X93" t="b">
        <v>1</v>
      </c>
      <c r="Y93">
        <v>2877600</v>
      </c>
      <c r="Z93">
        <v>5193370</v>
      </c>
      <c r="AA93" t="b">
        <v>0</v>
      </c>
      <c r="AB93">
        <v>101.52</v>
      </c>
      <c r="AC93">
        <v>103.2</v>
      </c>
      <c r="AD93">
        <v>99.84</v>
      </c>
      <c r="AE93">
        <v>0.748</v>
      </c>
      <c r="AF93">
        <v>0.033</v>
      </c>
      <c r="AG93">
        <v>103.11</v>
      </c>
      <c r="AH93">
        <v>99.51000000000001</v>
      </c>
      <c r="AI93" t="b">
        <v>0</v>
      </c>
      <c r="AJ93">
        <v>0.992</v>
      </c>
      <c r="AK93">
        <v>100.86</v>
      </c>
      <c r="AL93">
        <v>100.01</v>
      </c>
      <c r="AM93">
        <v>99.84</v>
      </c>
      <c r="AN93">
        <v>91.09</v>
      </c>
      <c r="AO93">
        <v>100.86</v>
      </c>
      <c r="AP93" t="s">
        <v>280</v>
      </c>
      <c r="AQ93">
        <v>91.09</v>
      </c>
      <c r="AR93">
        <v>112.58</v>
      </c>
      <c r="AS93">
        <v>0.05</v>
      </c>
      <c r="AT93">
        <v>0.07000000000000001</v>
      </c>
      <c r="AU93">
        <v>60</v>
      </c>
      <c r="AV93">
        <v>0.908526013515061</v>
      </c>
      <c r="AW93">
        <v>4</v>
      </c>
      <c r="AX93">
        <v>5.75</v>
      </c>
      <c r="AY93">
        <v>88</v>
      </c>
      <c r="AZ93">
        <v>1000</v>
      </c>
      <c r="BA93">
        <v>15000</v>
      </c>
      <c r="BD93">
        <v>10.62</v>
      </c>
      <c r="BE93">
        <v>12.21</v>
      </c>
      <c r="BF93">
        <v>4.1</v>
      </c>
      <c r="BG93">
        <v>0.43</v>
      </c>
      <c r="BH93">
        <v>3.49</v>
      </c>
      <c r="BI93">
        <v>0.6899999999999999</v>
      </c>
      <c r="BJ93">
        <v>305.16</v>
      </c>
      <c r="BK93">
        <v>74.17</v>
      </c>
      <c r="BM93">
        <v>0.03</v>
      </c>
      <c r="BN93" t="s">
        <v>293</v>
      </c>
      <c r="BO93" t="b">
        <v>0</v>
      </c>
      <c r="BP93" s="1">
        <f>IFERROR(RANK.EQ(AX93,AX$2:AX$213,0),"")</f>
        <v>0</v>
      </c>
      <c r="BQ93">
        <f>IFERROR(Y93/Z93,"")</f>
        <v>0</v>
      </c>
      <c r="BR93">
        <f>IFERROR(U93-V93,"")</f>
        <v>0</v>
      </c>
      <c r="BS93">
        <f>IFERROR(U93&gt;V93,"")</f>
        <v>0</v>
      </c>
      <c r="BT93">
        <f>IF(AND(ISNUMBER(D93),ISNUMBER(H93),D93&gt;=H93), OR(O93=TRUE,P93=TRUE), FALSE)</f>
        <v>0</v>
      </c>
      <c r="BU93">
        <f>AND(ISNUMBER(R93), R93&gt;=45, R93&lt;=60, W93=TRUE, E93&gt;=-20)</f>
        <v>0</v>
      </c>
      <c r="BV93">
        <f>OR(AI93=TRUE,AA93=TRUE)</f>
        <v>0</v>
      </c>
      <c r="BW93">
        <f>IFERROR( (AR93-D93) / MAX(D93-AQ93,1E-9) ,"")</f>
        <v>0</v>
      </c>
      <c r="BX93">
        <f>IFERROR(BW93&gt;=2, FALSE)</f>
        <v>0</v>
      </c>
      <c r="BY93" s="1">
        <f>IFERROR(ROUNDDOWN(MIN(IF(BA93&gt;0, BA93/D93, 1E99),IF(AZ93&gt;0, AZ93/MAX(D93-AQ93,1E-9), 1E99)),0),"")</f>
        <v>0</v>
      </c>
      <c r="BZ93" s="2">
        <f>IF(AND(ISNUMBER(D93),ISNUMBER(AT93)), D93*(1-AT93), "")</f>
        <v>0</v>
      </c>
      <c r="CA93">
        <f>AND(BT93=TRUE,BU93=TRUE,BV93=TRUE,BX93=TRUE)</f>
        <v>0</v>
      </c>
    </row>
    <row r="94" spans="1:79" x14ac:dyDescent="0.25">
      <c r="A94" t="s">
        <v>159</v>
      </c>
      <c r="B94">
        <f>HYPERLINK("data/charts/OMC.png", "Open")</f>
        <v>0</v>
      </c>
      <c r="C94" t="s">
        <v>279</v>
      </c>
      <c r="D94">
        <v>76.31</v>
      </c>
      <c r="E94">
        <v>-28.68</v>
      </c>
      <c r="F94">
        <v>11.61</v>
      </c>
      <c r="G94">
        <v>-7.05</v>
      </c>
      <c r="H94">
        <v>82.09999999999999</v>
      </c>
      <c r="I94">
        <v>-0.1726</v>
      </c>
      <c r="J94" t="b">
        <v>0</v>
      </c>
      <c r="K94">
        <v>72.79000000000001</v>
      </c>
      <c r="L94">
        <v>73.98999999999999</v>
      </c>
      <c r="M94">
        <v>73.84999999999999</v>
      </c>
      <c r="N94">
        <v>73.70999999999999</v>
      </c>
      <c r="O94" t="b">
        <v>1</v>
      </c>
      <c r="P94" t="b">
        <v>1</v>
      </c>
      <c r="Q94" t="b">
        <v>1</v>
      </c>
      <c r="R94">
        <v>59.39</v>
      </c>
      <c r="S94" t="b">
        <v>0</v>
      </c>
      <c r="T94" t="b">
        <v>0</v>
      </c>
      <c r="U94">
        <v>0.5349</v>
      </c>
      <c r="V94">
        <v>0.2086</v>
      </c>
      <c r="W94" t="b">
        <v>1</v>
      </c>
      <c r="X94" t="b">
        <v>1</v>
      </c>
      <c r="Y94">
        <v>3126000</v>
      </c>
      <c r="Z94">
        <v>3653865</v>
      </c>
      <c r="AA94" t="b">
        <v>0</v>
      </c>
      <c r="AB94">
        <v>73.98999999999999</v>
      </c>
      <c r="AC94">
        <v>78.08</v>
      </c>
      <c r="AD94">
        <v>69.90000000000001</v>
      </c>
      <c r="AE94">
        <v>0.783</v>
      </c>
      <c r="AF94">
        <v>0.111</v>
      </c>
      <c r="AG94">
        <v>79.3</v>
      </c>
      <c r="AH94">
        <v>70.38</v>
      </c>
      <c r="AI94" t="b">
        <v>0</v>
      </c>
      <c r="AJ94">
        <v>1.671</v>
      </c>
      <c r="AK94">
        <v>73.8</v>
      </c>
      <c r="AL94">
        <v>71.8</v>
      </c>
      <c r="AM94">
        <v>69.90000000000001</v>
      </c>
      <c r="AN94">
        <v>67.92</v>
      </c>
      <c r="AO94">
        <v>73.8</v>
      </c>
      <c r="AP94" t="s">
        <v>280</v>
      </c>
      <c r="AQ94">
        <v>67.92</v>
      </c>
      <c r="AR94">
        <v>83.94</v>
      </c>
      <c r="AS94">
        <v>0.05</v>
      </c>
      <c r="AT94">
        <v>0.07000000000000001</v>
      </c>
      <c r="AU94">
        <v>60</v>
      </c>
      <c r="AV94">
        <v>0.9094165270156666</v>
      </c>
      <c r="AW94">
        <v>4</v>
      </c>
      <c r="AX94">
        <v>5.75</v>
      </c>
      <c r="AY94">
        <v>119</v>
      </c>
      <c r="AZ94">
        <v>1000</v>
      </c>
      <c r="BA94">
        <v>15000</v>
      </c>
      <c r="BD94">
        <v>10.92</v>
      </c>
      <c r="BE94">
        <v>8.83</v>
      </c>
      <c r="BF94">
        <v>3.67</v>
      </c>
      <c r="BG94">
        <v>0.4</v>
      </c>
      <c r="BH94">
        <v>1.29</v>
      </c>
      <c r="BI94">
        <v>8.81</v>
      </c>
      <c r="BJ94">
        <v>-9.59</v>
      </c>
      <c r="BK94">
        <v>6.41</v>
      </c>
      <c r="BM94">
        <v>-0.51</v>
      </c>
      <c r="BN94" t="s">
        <v>309</v>
      </c>
      <c r="BO94" t="b">
        <v>0</v>
      </c>
      <c r="BP94" s="1">
        <f>IFERROR(RANK.EQ(AX94,AX$2:AX$213,0),"")</f>
        <v>0</v>
      </c>
      <c r="BQ94">
        <f>IFERROR(Y94/Z94,"")</f>
        <v>0</v>
      </c>
      <c r="BR94">
        <f>IFERROR(U94-V94,"")</f>
        <v>0</v>
      </c>
      <c r="BS94">
        <f>IFERROR(U94&gt;V94,"")</f>
        <v>0</v>
      </c>
      <c r="BT94">
        <f>IF(AND(ISNUMBER(D94),ISNUMBER(H94),D94&gt;=H94), OR(O94=TRUE,P94=TRUE), FALSE)</f>
        <v>0</v>
      </c>
      <c r="BU94">
        <f>AND(ISNUMBER(R94), R94&gt;=45, R94&lt;=60, W94=TRUE, E94&gt;=-20)</f>
        <v>0</v>
      </c>
      <c r="BV94">
        <f>OR(AI94=TRUE,AA94=TRUE)</f>
        <v>0</v>
      </c>
      <c r="BW94">
        <f>IFERROR( (AR94-D94) / MAX(D94-AQ94,1E-9) ,"")</f>
        <v>0</v>
      </c>
      <c r="BX94">
        <f>IFERROR(BW94&gt;=2, FALSE)</f>
        <v>0</v>
      </c>
      <c r="BY94" s="1">
        <f>IFERROR(ROUNDDOWN(MIN(IF(BA94&gt;0, BA94/D94, 1E99),IF(AZ94&gt;0, AZ94/MAX(D94-AQ94,1E-9), 1E99)),0),"")</f>
        <v>0</v>
      </c>
      <c r="BZ94" s="2">
        <f>IF(AND(ISNUMBER(D94),ISNUMBER(AT94)), D94*(1-AT94), "")</f>
        <v>0</v>
      </c>
      <c r="CA94">
        <f>AND(BT94=TRUE,BU94=TRUE,BV94=TRUE,BX94=TRUE)</f>
        <v>0</v>
      </c>
    </row>
    <row r="95" spans="1:79" x14ac:dyDescent="0.25">
      <c r="A95" t="s">
        <v>160</v>
      </c>
      <c r="B95">
        <f>HYPERLINK("data/charts/FOX.png", "Open")</f>
        <v>0</v>
      </c>
      <c r="C95" t="s">
        <v>279</v>
      </c>
      <c r="D95">
        <v>53.39</v>
      </c>
      <c r="E95">
        <v>-2.93</v>
      </c>
      <c r="F95">
        <v>48.76</v>
      </c>
      <c r="G95">
        <v>10.62</v>
      </c>
      <c r="H95">
        <v>48.27</v>
      </c>
      <c r="I95">
        <v>0.1362</v>
      </c>
      <c r="J95" t="b">
        <v>1</v>
      </c>
      <c r="K95">
        <v>51.02</v>
      </c>
      <c r="L95">
        <v>51.33</v>
      </c>
      <c r="M95">
        <v>51.47</v>
      </c>
      <c r="N95">
        <v>50.94</v>
      </c>
      <c r="O95" t="b">
        <v>1</v>
      </c>
      <c r="P95" t="b">
        <v>1</v>
      </c>
      <c r="Q95" t="b">
        <v>1</v>
      </c>
      <c r="R95">
        <v>59.7</v>
      </c>
      <c r="S95" t="b">
        <v>0</v>
      </c>
      <c r="T95" t="b">
        <v>0</v>
      </c>
      <c r="U95">
        <v>0.4261</v>
      </c>
      <c r="V95">
        <v>0.06809999999999999</v>
      </c>
      <c r="W95" t="b">
        <v>1</v>
      </c>
      <c r="X95" t="b">
        <v>1</v>
      </c>
      <c r="Y95">
        <v>923300</v>
      </c>
      <c r="Z95">
        <v>1158925</v>
      </c>
      <c r="AA95" t="b">
        <v>0</v>
      </c>
      <c r="AB95">
        <v>51.33</v>
      </c>
      <c r="AC95">
        <v>54.19</v>
      </c>
      <c r="AD95">
        <v>48.47</v>
      </c>
      <c r="AE95">
        <v>0.86</v>
      </c>
      <c r="AF95">
        <v>0.111</v>
      </c>
      <c r="AG95">
        <v>54.93</v>
      </c>
      <c r="AH95">
        <v>48.42</v>
      </c>
      <c r="AI95" t="b">
        <v>0</v>
      </c>
      <c r="AJ95">
        <v>1.344</v>
      </c>
      <c r="AK95">
        <v>51.37</v>
      </c>
      <c r="AL95">
        <v>48.42</v>
      </c>
      <c r="AM95">
        <v>48.47</v>
      </c>
      <c r="AN95">
        <v>47.52</v>
      </c>
      <c r="AO95">
        <v>51.37</v>
      </c>
      <c r="AP95" t="s">
        <v>280</v>
      </c>
      <c r="AQ95">
        <v>47.52</v>
      </c>
      <c r="AR95">
        <v>58.73</v>
      </c>
      <c r="AS95">
        <v>0.05</v>
      </c>
      <c r="AT95">
        <v>0.07000000000000001</v>
      </c>
      <c r="AU95">
        <v>60</v>
      </c>
      <c r="AV95">
        <v>0.9097105903909442</v>
      </c>
      <c r="AW95">
        <v>4</v>
      </c>
      <c r="AX95">
        <v>5.75</v>
      </c>
      <c r="AY95">
        <v>170</v>
      </c>
      <c r="AZ95">
        <v>1000</v>
      </c>
      <c r="BA95">
        <v>15000</v>
      </c>
      <c r="BD95">
        <v>10.87</v>
      </c>
      <c r="BE95">
        <v>22.72</v>
      </c>
      <c r="BF95">
        <v>1.05</v>
      </c>
      <c r="BG95">
        <v>0.11</v>
      </c>
      <c r="BH95">
        <v>0.6</v>
      </c>
      <c r="BI95">
        <v>-24.8</v>
      </c>
      <c r="BJ95">
        <v>107.23</v>
      </c>
      <c r="BK95">
        <v>21.81</v>
      </c>
      <c r="BM95">
        <v>0.09</v>
      </c>
      <c r="BN95" t="s">
        <v>312</v>
      </c>
      <c r="BO95" t="b">
        <v>0</v>
      </c>
      <c r="BP95" s="1">
        <f>IFERROR(RANK.EQ(AX95,AX$2:AX$213,0),"")</f>
        <v>0</v>
      </c>
      <c r="BQ95">
        <f>IFERROR(Y95/Z95,"")</f>
        <v>0</v>
      </c>
      <c r="BR95">
        <f>IFERROR(U95-V95,"")</f>
        <v>0</v>
      </c>
      <c r="BS95">
        <f>IFERROR(U95&gt;V95,"")</f>
        <v>0</v>
      </c>
      <c r="BT95">
        <f>IF(AND(ISNUMBER(D95),ISNUMBER(H95),D95&gt;=H95), OR(O95=TRUE,P95=TRUE), FALSE)</f>
        <v>0</v>
      </c>
      <c r="BU95">
        <f>AND(ISNUMBER(R95), R95&gt;=45, R95&lt;=60, W95=TRUE, E95&gt;=-20)</f>
        <v>0</v>
      </c>
      <c r="BV95">
        <f>OR(AI95=TRUE,AA95=TRUE)</f>
        <v>0</v>
      </c>
      <c r="BW95">
        <f>IFERROR( (AR95-D95) / MAX(D95-AQ95,1E-9) ,"")</f>
        <v>0</v>
      </c>
      <c r="BX95">
        <f>IFERROR(BW95&gt;=2, FALSE)</f>
        <v>0</v>
      </c>
      <c r="BY95" s="1">
        <f>IFERROR(ROUNDDOWN(MIN(IF(BA95&gt;0, BA95/D95, 1E99),IF(AZ95&gt;0, AZ95/MAX(D95-AQ95,1E-9), 1E99)),0),"")</f>
        <v>0</v>
      </c>
      <c r="BZ95" s="2">
        <f>IF(AND(ISNUMBER(D95),ISNUMBER(AT95)), D95*(1-AT95), "")</f>
        <v>0</v>
      </c>
      <c r="CA95">
        <f>AND(BT95=TRUE,BU95=TRUE,BV95=TRUE,BX95=TRUE)</f>
        <v>0</v>
      </c>
    </row>
    <row r="96" spans="1:79" x14ac:dyDescent="0.25">
      <c r="A96" t="s">
        <v>161</v>
      </c>
      <c r="B96">
        <f>HYPERLINK("data/charts/MRK.png", "Open")</f>
        <v>0</v>
      </c>
      <c r="C96" t="s">
        <v>279</v>
      </c>
      <c r="D96">
        <v>84.20999999999999</v>
      </c>
      <c r="E96">
        <v>-30</v>
      </c>
      <c r="F96">
        <v>14.87</v>
      </c>
      <c r="G96">
        <v>-5.14</v>
      </c>
      <c r="H96">
        <v>88.77</v>
      </c>
      <c r="I96">
        <v>-0.1844</v>
      </c>
      <c r="J96" t="b">
        <v>0</v>
      </c>
      <c r="K96">
        <v>81.09</v>
      </c>
      <c r="L96">
        <v>81.54000000000001</v>
      </c>
      <c r="M96">
        <v>81.48999999999999</v>
      </c>
      <c r="N96">
        <v>81.29000000000001</v>
      </c>
      <c r="O96" t="b">
        <v>1</v>
      </c>
      <c r="P96" t="b">
        <v>1</v>
      </c>
      <c r="Q96" t="b">
        <v>1</v>
      </c>
      <c r="R96">
        <v>60.16</v>
      </c>
      <c r="S96" t="b">
        <v>0</v>
      </c>
      <c r="T96" t="b">
        <v>0</v>
      </c>
      <c r="U96">
        <v>0.2731</v>
      </c>
      <c r="V96">
        <v>0.0019</v>
      </c>
      <c r="W96" t="b">
        <v>1</v>
      </c>
      <c r="X96" t="b">
        <v>1</v>
      </c>
      <c r="Y96">
        <v>10479600</v>
      </c>
      <c r="Z96">
        <v>11959885</v>
      </c>
      <c r="AA96" t="b">
        <v>0</v>
      </c>
      <c r="AB96">
        <v>81.54000000000001</v>
      </c>
      <c r="AC96">
        <v>85.43000000000001</v>
      </c>
      <c r="AD96">
        <v>77.65000000000001</v>
      </c>
      <c r="AE96">
        <v>0.844</v>
      </c>
      <c r="AF96">
        <v>0.095</v>
      </c>
      <c r="AG96">
        <v>85.22</v>
      </c>
      <c r="AH96">
        <v>76.66</v>
      </c>
      <c r="AI96" t="b">
        <v>0</v>
      </c>
      <c r="AJ96">
        <v>2.269</v>
      </c>
      <c r="AK96">
        <v>80.81</v>
      </c>
      <c r="AL96">
        <v>78.65000000000001</v>
      </c>
      <c r="AM96">
        <v>77.65000000000001</v>
      </c>
      <c r="AN96">
        <v>74.95</v>
      </c>
      <c r="AO96">
        <v>80.81</v>
      </c>
      <c r="AP96" t="s">
        <v>280</v>
      </c>
      <c r="AQ96">
        <v>74.95</v>
      </c>
      <c r="AR96">
        <v>92.63</v>
      </c>
      <c r="AS96">
        <v>0.05</v>
      </c>
      <c r="AT96">
        <v>0.07000000000000001</v>
      </c>
      <c r="AU96">
        <v>60</v>
      </c>
      <c r="AV96">
        <v>0.909287445788862</v>
      </c>
      <c r="AW96">
        <v>4</v>
      </c>
      <c r="AX96">
        <v>5.75</v>
      </c>
      <c r="AY96">
        <v>107</v>
      </c>
      <c r="AZ96">
        <v>1000</v>
      </c>
      <c r="BA96">
        <v>15000</v>
      </c>
      <c r="BD96">
        <v>12.98</v>
      </c>
      <c r="BE96">
        <v>8.960000000000001</v>
      </c>
      <c r="BF96">
        <v>3.85</v>
      </c>
      <c r="BG96">
        <v>0.49</v>
      </c>
      <c r="BH96">
        <v>0.72</v>
      </c>
      <c r="BI96">
        <v>1.78</v>
      </c>
      <c r="BJ96">
        <v>-12.39</v>
      </c>
      <c r="BK96">
        <v>28.01</v>
      </c>
      <c r="BM96">
        <v>-0.6899999999999999</v>
      </c>
      <c r="BN96" t="s">
        <v>316</v>
      </c>
      <c r="BO96" t="b">
        <v>0</v>
      </c>
      <c r="BP96" s="1">
        <f>IFERROR(RANK.EQ(AX96,AX$2:AX$213,0),"")</f>
        <v>0</v>
      </c>
      <c r="BQ96">
        <f>IFERROR(Y96/Z96,"")</f>
        <v>0</v>
      </c>
      <c r="BR96">
        <f>IFERROR(U96-V96,"")</f>
        <v>0</v>
      </c>
      <c r="BS96">
        <f>IFERROR(U96&gt;V96,"")</f>
        <v>0</v>
      </c>
      <c r="BT96">
        <f>IF(AND(ISNUMBER(D96),ISNUMBER(H96),D96&gt;=H96), OR(O96=TRUE,P96=TRUE), FALSE)</f>
        <v>0</v>
      </c>
      <c r="BU96">
        <f>AND(ISNUMBER(R96), R96&gt;=45, R96&lt;=60, W96=TRUE, E96&gt;=-20)</f>
        <v>0</v>
      </c>
      <c r="BV96">
        <f>OR(AI96=TRUE,AA96=TRUE)</f>
        <v>0</v>
      </c>
      <c r="BW96">
        <f>IFERROR( (AR96-D96) / MAX(D96-AQ96,1E-9) ,"")</f>
        <v>0</v>
      </c>
      <c r="BX96">
        <f>IFERROR(BW96&gt;=2, FALSE)</f>
        <v>0</v>
      </c>
      <c r="BY96" s="1">
        <f>IFERROR(ROUNDDOWN(MIN(IF(BA96&gt;0, BA96/D96, 1E99),IF(AZ96&gt;0, AZ96/MAX(D96-AQ96,1E-9), 1E99)),0),"")</f>
        <v>0</v>
      </c>
      <c r="BZ96" s="2">
        <f>IF(AND(ISNUMBER(D96),ISNUMBER(AT96)), D96*(1-AT96), "")</f>
        <v>0</v>
      </c>
      <c r="CA96">
        <f>AND(BT96=TRUE,BU96=TRUE,BV96=TRUE,BX96=TRUE)</f>
        <v>0</v>
      </c>
    </row>
    <row r="97" spans="1:79" x14ac:dyDescent="0.25">
      <c r="A97" t="s">
        <v>162</v>
      </c>
      <c r="B97">
        <f>HYPERLINK("data/charts/IPG.png", "Open")</f>
        <v>0</v>
      </c>
      <c r="C97" t="s">
        <v>279</v>
      </c>
      <c r="D97">
        <v>26.09</v>
      </c>
      <c r="E97">
        <v>-21.06</v>
      </c>
      <c r="F97">
        <v>15.9</v>
      </c>
      <c r="G97">
        <v>-1.62</v>
      </c>
      <c r="H97">
        <v>26.52</v>
      </c>
      <c r="I97">
        <v>-0.1233</v>
      </c>
      <c r="J97" t="b">
        <v>0</v>
      </c>
      <c r="K97">
        <v>24.62</v>
      </c>
      <c r="L97">
        <v>25.28</v>
      </c>
      <c r="M97">
        <v>25.21</v>
      </c>
      <c r="N97">
        <v>24.95</v>
      </c>
      <c r="O97" t="b">
        <v>1</v>
      </c>
      <c r="P97" t="b">
        <v>1</v>
      </c>
      <c r="Q97" t="b">
        <v>1</v>
      </c>
      <c r="R97">
        <v>60.33</v>
      </c>
      <c r="S97" t="b">
        <v>0</v>
      </c>
      <c r="T97" t="b">
        <v>0</v>
      </c>
      <c r="U97">
        <v>0.2569</v>
      </c>
      <c r="V97">
        <v>0.156</v>
      </c>
      <c r="W97" t="b">
        <v>1</v>
      </c>
      <c r="X97" t="b">
        <v>1</v>
      </c>
      <c r="Y97">
        <v>5284100</v>
      </c>
      <c r="Z97">
        <v>5995670</v>
      </c>
      <c r="AA97" t="b">
        <v>0</v>
      </c>
      <c r="AB97">
        <v>25.28</v>
      </c>
      <c r="AC97">
        <v>26.69</v>
      </c>
      <c r="AD97">
        <v>23.86</v>
      </c>
      <c r="AE97">
        <v>0.787</v>
      </c>
      <c r="AF97">
        <v>0.112</v>
      </c>
      <c r="AG97">
        <v>27.03</v>
      </c>
      <c r="AH97">
        <v>24</v>
      </c>
      <c r="AI97" t="b">
        <v>0</v>
      </c>
      <c r="AJ97">
        <v>0.5649999999999999</v>
      </c>
      <c r="AK97">
        <v>25.24</v>
      </c>
      <c r="AL97">
        <v>24.1</v>
      </c>
      <c r="AM97">
        <v>23.86</v>
      </c>
      <c r="AN97">
        <v>23.22</v>
      </c>
      <c r="AO97">
        <v>25.24</v>
      </c>
      <c r="AP97" t="s">
        <v>280</v>
      </c>
      <c r="AQ97">
        <v>23.22</v>
      </c>
      <c r="AR97">
        <v>28.7</v>
      </c>
      <c r="AS97">
        <v>0.05</v>
      </c>
      <c r="AT97">
        <v>0.07000000000000001</v>
      </c>
      <c r="AU97">
        <v>60</v>
      </c>
      <c r="AV97">
        <v>0.9094075639886849</v>
      </c>
      <c r="AW97">
        <v>4</v>
      </c>
      <c r="AX97">
        <v>5.75</v>
      </c>
      <c r="AY97">
        <v>348</v>
      </c>
      <c r="AZ97">
        <v>1000</v>
      </c>
      <c r="BA97">
        <v>15000</v>
      </c>
      <c r="BD97">
        <v>22.11</v>
      </c>
      <c r="BE97">
        <v>9.49</v>
      </c>
      <c r="BF97">
        <v>5.06</v>
      </c>
      <c r="BG97">
        <v>1.12</v>
      </c>
      <c r="BH97">
        <v>1.11</v>
      </c>
      <c r="BI97">
        <v>9.220000000000001</v>
      </c>
      <c r="BJ97">
        <v>-291.3</v>
      </c>
      <c r="BK97">
        <v>6.41</v>
      </c>
      <c r="BM97">
        <v>-0.91</v>
      </c>
      <c r="BN97" t="s">
        <v>309</v>
      </c>
      <c r="BO97" t="b">
        <v>0</v>
      </c>
      <c r="BP97" s="1">
        <f>IFERROR(RANK.EQ(AX97,AX$2:AX$213,0),"")</f>
        <v>0</v>
      </c>
      <c r="BQ97">
        <f>IFERROR(Y97/Z97,"")</f>
        <v>0</v>
      </c>
      <c r="BR97">
        <f>IFERROR(U97-V97,"")</f>
        <v>0</v>
      </c>
      <c r="BS97">
        <f>IFERROR(U97&gt;V97,"")</f>
        <v>0</v>
      </c>
      <c r="BT97">
        <f>IF(AND(ISNUMBER(D97),ISNUMBER(H97),D97&gt;=H97), OR(O97=TRUE,P97=TRUE), FALSE)</f>
        <v>0</v>
      </c>
      <c r="BU97">
        <f>AND(ISNUMBER(R97), R97&gt;=45, R97&lt;=60, W97=TRUE, E97&gt;=-20)</f>
        <v>0</v>
      </c>
      <c r="BV97">
        <f>OR(AI97=TRUE,AA97=TRUE)</f>
        <v>0</v>
      </c>
      <c r="BW97">
        <f>IFERROR( (AR97-D97) / MAX(D97-AQ97,1E-9) ,"")</f>
        <v>0</v>
      </c>
      <c r="BX97">
        <f>IFERROR(BW97&gt;=2, FALSE)</f>
        <v>0</v>
      </c>
      <c r="BY97" s="1">
        <f>IFERROR(ROUNDDOWN(MIN(IF(BA97&gt;0, BA97/D97, 1E99),IF(AZ97&gt;0, AZ97/MAX(D97-AQ97,1E-9), 1E99)),0),"")</f>
        <v>0</v>
      </c>
      <c r="BZ97" s="2">
        <f>IF(AND(ISNUMBER(D97),ISNUMBER(AT97)), D97*(1-AT97), "")</f>
        <v>0</v>
      </c>
      <c r="CA97">
        <f>AND(BT97=TRUE,BU97=TRUE,BV97=TRUE,BX97=TRUE)</f>
        <v>0</v>
      </c>
    </row>
    <row r="98" spans="1:79" x14ac:dyDescent="0.25">
      <c r="A98" t="s">
        <v>163</v>
      </c>
      <c r="B98">
        <f>HYPERLINK("data/charts/NUE.png", "Open")</f>
        <v>0</v>
      </c>
      <c r="C98" t="s">
        <v>279</v>
      </c>
      <c r="D98">
        <v>145.41</v>
      </c>
      <c r="E98">
        <v>-14.73</v>
      </c>
      <c r="F98">
        <v>49</v>
      </c>
      <c r="G98">
        <v>12.01</v>
      </c>
      <c r="H98">
        <v>129.82</v>
      </c>
      <c r="I98">
        <v>-0.041</v>
      </c>
      <c r="J98" t="b">
        <v>0</v>
      </c>
      <c r="K98">
        <v>135.2</v>
      </c>
      <c r="L98">
        <v>141.72</v>
      </c>
      <c r="M98">
        <v>140.75</v>
      </c>
      <c r="N98">
        <v>135.77</v>
      </c>
      <c r="O98" t="b">
        <v>1</v>
      </c>
      <c r="P98" t="b">
        <v>1</v>
      </c>
      <c r="Q98" t="b">
        <v>1</v>
      </c>
      <c r="R98">
        <v>60.49</v>
      </c>
      <c r="S98" t="b">
        <v>0</v>
      </c>
      <c r="T98" t="b">
        <v>0</v>
      </c>
      <c r="U98">
        <v>1.9714</v>
      </c>
      <c r="V98">
        <v>1.9439</v>
      </c>
      <c r="W98" t="b">
        <v>1</v>
      </c>
      <c r="X98" t="b">
        <v>1</v>
      </c>
      <c r="Y98">
        <v>2178200</v>
      </c>
      <c r="Z98">
        <v>1744625</v>
      </c>
      <c r="AA98" t="b">
        <v>0</v>
      </c>
      <c r="AB98">
        <v>141.72</v>
      </c>
      <c r="AC98">
        <v>147.52</v>
      </c>
      <c r="AD98">
        <v>135.93</v>
      </c>
      <c r="AE98">
        <v>0.8179999999999999</v>
      </c>
      <c r="AF98">
        <v>0.082</v>
      </c>
      <c r="AG98">
        <v>151.32</v>
      </c>
      <c r="AH98">
        <v>134.03</v>
      </c>
      <c r="AI98" t="b">
        <v>0</v>
      </c>
      <c r="AJ98">
        <v>3.833</v>
      </c>
      <c r="AK98">
        <v>139.66</v>
      </c>
      <c r="AL98">
        <v>135.8</v>
      </c>
      <c r="AM98">
        <v>135.93</v>
      </c>
      <c r="AN98">
        <v>129.41</v>
      </c>
      <c r="AO98">
        <v>139.66</v>
      </c>
      <c r="AP98" t="s">
        <v>280</v>
      </c>
      <c r="AQ98">
        <v>129.41</v>
      </c>
      <c r="AR98">
        <v>159.95</v>
      </c>
      <c r="AS98">
        <v>0.05</v>
      </c>
      <c r="AT98">
        <v>0.07000000000000001</v>
      </c>
      <c r="AU98">
        <v>60</v>
      </c>
      <c r="AV98">
        <v>0.9087495631218947</v>
      </c>
      <c r="AW98">
        <v>4</v>
      </c>
      <c r="AX98">
        <v>5.75</v>
      </c>
      <c r="AY98">
        <v>62</v>
      </c>
      <c r="AZ98">
        <v>1000</v>
      </c>
      <c r="BA98">
        <v>15000</v>
      </c>
      <c r="BD98">
        <v>26.06</v>
      </c>
      <c r="BE98">
        <v>15.54</v>
      </c>
      <c r="BF98">
        <v>1.51</v>
      </c>
      <c r="BG98">
        <v>0.39</v>
      </c>
      <c r="BH98">
        <v>0.32</v>
      </c>
      <c r="BI98">
        <v>7.99</v>
      </c>
      <c r="BJ98">
        <v>288.06</v>
      </c>
      <c r="BK98">
        <v>7.13</v>
      </c>
      <c r="BM98">
        <v>-4.01</v>
      </c>
      <c r="BN98" t="s">
        <v>299</v>
      </c>
      <c r="BO98" t="b">
        <v>0</v>
      </c>
      <c r="BP98" s="1">
        <f>IFERROR(RANK.EQ(AX98,AX$2:AX$213,0),"")</f>
        <v>0</v>
      </c>
      <c r="BQ98">
        <f>IFERROR(Y98/Z98,"")</f>
        <v>0</v>
      </c>
      <c r="BR98">
        <f>IFERROR(U98-V98,"")</f>
        <v>0</v>
      </c>
      <c r="BS98">
        <f>IFERROR(U98&gt;V98,"")</f>
        <v>0</v>
      </c>
      <c r="BT98">
        <f>IF(AND(ISNUMBER(D98),ISNUMBER(H98),D98&gt;=H98), OR(O98=TRUE,P98=TRUE), FALSE)</f>
        <v>0</v>
      </c>
      <c r="BU98">
        <f>AND(ISNUMBER(R98), R98&gt;=45, R98&lt;=60, W98=TRUE, E98&gt;=-20)</f>
        <v>0</v>
      </c>
      <c r="BV98">
        <f>OR(AI98=TRUE,AA98=TRUE)</f>
        <v>0</v>
      </c>
      <c r="BW98">
        <f>IFERROR( (AR98-D98) / MAX(D98-AQ98,1E-9) ,"")</f>
        <v>0</v>
      </c>
      <c r="BX98">
        <f>IFERROR(BW98&gt;=2, FALSE)</f>
        <v>0</v>
      </c>
      <c r="BY98" s="1">
        <f>IFERROR(ROUNDDOWN(MIN(IF(BA98&gt;0, BA98/D98, 1E99),IF(AZ98&gt;0, AZ98/MAX(D98-AQ98,1E-9), 1E99)),0),"")</f>
        <v>0</v>
      </c>
      <c r="BZ98" s="2">
        <f>IF(AND(ISNUMBER(D98),ISNUMBER(AT98)), D98*(1-AT98), "")</f>
        <v>0</v>
      </c>
      <c r="CA98">
        <f>AND(BT98=TRUE,BU98=TRUE,BV98=TRUE,BX98=TRUE)</f>
        <v>0</v>
      </c>
    </row>
    <row r="99" spans="1:79" x14ac:dyDescent="0.25">
      <c r="A99" t="s">
        <v>164</v>
      </c>
      <c r="B99">
        <f>HYPERLINK("data/charts/LIN.png", "Open")</f>
        <v>0</v>
      </c>
      <c r="C99" t="s">
        <v>279</v>
      </c>
      <c r="D99">
        <v>480.08</v>
      </c>
      <c r="E99">
        <v>-1.52</v>
      </c>
      <c r="F99">
        <v>17.48</v>
      </c>
      <c r="G99">
        <v>5.58</v>
      </c>
      <c r="H99">
        <v>454.71</v>
      </c>
      <c r="I99">
        <v>-0.005</v>
      </c>
      <c r="J99" t="b">
        <v>0</v>
      </c>
      <c r="K99">
        <v>468.45</v>
      </c>
      <c r="L99">
        <v>470.46</v>
      </c>
      <c r="M99">
        <v>471.03</v>
      </c>
      <c r="N99">
        <v>467.72</v>
      </c>
      <c r="O99" t="b">
        <v>1</v>
      </c>
      <c r="P99" t="b">
        <v>1</v>
      </c>
      <c r="Q99" t="b">
        <v>1</v>
      </c>
      <c r="R99">
        <v>62.84</v>
      </c>
      <c r="S99" t="b">
        <v>0</v>
      </c>
      <c r="T99" t="b">
        <v>0</v>
      </c>
      <c r="U99">
        <v>2.5287</v>
      </c>
      <c r="V99">
        <v>1.3506</v>
      </c>
      <c r="W99" t="b">
        <v>0</v>
      </c>
      <c r="X99" t="b">
        <v>1</v>
      </c>
      <c r="Y99">
        <v>1951300</v>
      </c>
      <c r="Z99">
        <v>1490220</v>
      </c>
      <c r="AA99" t="b">
        <v>0</v>
      </c>
      <c r="AB99">
        <v>470.46</v>
      </c>
      <c r="AC99">
        <v>480.03</v>
      </c>
      <c r="AD99">
        <v>460.89</v>
      </c>
      <c r="AE99">
        <v>1.003</v>
      </c>
      <c r="AF99">
        <v>0.041</v>
      </c>
      <c r="AG99">
        <v>482.67</v>
      </c>
      <c r="AH99">
        <v>449.32</v>
      </c>
      <c r="AI99" t="b">
        <v>1</v>
      </c>
      <c r="AJ99">
        <v>6.826</v>
      </c>
      <c r="AK99">
        <v>469.84</v>
      </c>
      <c r="AL99">
        <v>466.13</v>
      </c>
      <c r="AM99">
        <v>460.89</v>
      </c>
      <c r="AN99">
        <v>427.27</v>
      </c>
      <c r="AO99">
        <v>469.84</v>
      </c>
      <c r="AP99" t="s">
        <v>280</v>
      </c>
      <c r="AQ99">
        <v>427.27</v>
      </c>
      <c r="AR99">
        <v>528.09</v>
      </c>
      <c r="AS99">
        <v>0.05</v>
      </c>
      <c r="AT99">
        <v>0.07000000000000001</v>
      </c>
      <c r="AU99">
        <v>60</v>
      </c>
      <c r="AV99">
        <v>0.9091086088809565</v>
      </c>
      <c r="AW99">
        <v>4</v>
      </c>
      <c r="AX99">
        <v>5.75</v>
      </c>
      <c r="AY99">
        <v>18</v>
      </c>
      <c r="AZ99">
        <v>1000</v>
      </c>
      <c r="BA99">
        <v>15000</v>
      </c>
      <c r="BD99">
        <v>34.12</v>
      </c>
      <c r="BE99">
        <v>28.32</v>
      </c>
      <c r="BF99">
        <v>1.25</v>
      </c>
      <c r="BG99">
        <v>0.41</v>
      </c>
      <c r="BH99">
        <v>0.65</v>
      </c>
      <c r="BI99">
        <v>4.72</v>
      </c>
      <c r="BJ99">
        <v>5.56</v>
      </c>
      <c r="BK99">
        <v>20.79</v>
      </c>
      <c r="BM99">
        <v>5.5</v>
      </c>
      <c r="BN99" t="s">
        <v>290</v>
      </c>
      <c r="BO99" t="b">
        <v>0</v>
      </c>
      <c r="BP99" s="1">
        <f>IFERROR(RANK.EQ(AX99,AX$2:AX$213,0),"")</f>
        <v>0</v>
      </c>
      <c r="BQ99">
        <f>IFERROR(Y99/Z99,"")</f>
        <v>0</v>
      </c>
      <c r="BR99">
        <f>IFERROR(U99-V99,"")</f>
        <v>0</v>
      </c>
      <c r="BS99">
        <f>IFERROR(U99&gt;V99,"")</f>
        <v>0</v>
      </c>
      <c r="BT99">
        <f>IF(AND(ISNUMBER(D99),ISNUMBER(H99),D99&gt;=H99), OR(O99=TRUE,P99=TRUE), FALSE)</f>
        <v>0</v>
      </c>
      <c r="BU99">
        <f>AND(ISNUMBER(R99), R99&gt;=45, R99&lt;=60, W99=TRUE, E99&gt;=-20)</f>
        <v>0</v>
      </c>
      <c r="BV99">
        <f>OR(AI99=TRUE,AA99=TRUE)</f>
        <v>0</v>
      </c>
      <c r="BW99">
        <f>IFERROR( (AR99-D99) / MAX(D99-AQ99,1E-9) ,"")</f>
        <v>0</v>
      </c>
      <c r="BX99">
        <f>IFERROR(BW99&gt;=2, FALSE)</f>
        <v>0</v>
      </c>
      <c r="BY99" s="1">
        <f>IFERROR(ROUNDDOWN(MIN(IF(BA99&gt;0, BA99/D99, 1E99),IF(AZ99&gt;0, AZ99/MAX(D99-AQ99,1E-9), 1E99)),0),"")</f>
        <v>0</v>
      </c>
      <c r="BZ99" s="2">
        <f>IF(AND(ISNUMBER(D99),ISNUMBER(AT99)), D99*(1-AT99), "")</f>
        <v>0</v>
      </c>
      <c r="CA99">
        <f>AND(BT99=TRUE,BU99=TRUE,BV99=TRUE,BX99=TRUE)</f>
        <v>0</v>
      </c>
    </row>
    <row r="100" spans="1:79" x14ac:dyDescent="0.25">
      <c r="A100" t="s">
        <v>165</v>
      </c>
      <c r="B100">
        <f>HYPERLINK("data/charts/FCR-UN_TO.png", "Open")</f>
        <v>0</v>
      </c>
      <c r="C100" t="s">
        <v>279</v>
      </c>
      <c r="D100">
        <v>19.12</v>
      </c>
      <c r="E100">
        <v>-0.93</v>
      </c>
      <c r="F100">
        <v>26.04</v>
      </c>
      <c r="G100">
        <v>10.23</v>
      </c>
      <c r="H100">
        <v>17.35</v>
      </c>
      <c r="I100">
        <v>0.0035</v>
      </c>
      <c r="J100" t="b">
        <v>1</v>
      </c>
      <c r="K100">
        <v>18.27</v>
      </c>
      <c r="L100">
        <v>18.77</v>
      </c>
      <c r="M100">
        <v>18.73</v>
      </c>
      <c r="N100">
        <v>18.33</v>
      </c>
      <c r="O100" t="b">
        <v>1</v>
      </c>
      <c r="P100" t="b">
        <v>1</v>
      </c>
      <c r="Q100" t="b">
        <v>1</v>
      </c>
      <c r="R100">
        <v>62.91</v>
      </c>
      <c r="S100" t="b">
        <v>0</v>
      </c>
      <c r="T100" t="b">
        <v>0</v>
      </c>
      <c r="U100">
        <v>0.2091</v>
      </c>
      <c r="V100">
        <v>0.1974</v>
      </c>
      <c r="W100" t="b">
        <v>1</v>
      </c>
      <c r="X100" t="b">
        <v>0</v>
      </c>
      <c r="Y100">
        <v>152300</v>
      </c>
      <c r="Z100">
        <v>296330</v>
      </c>
      <c r="AA100" t="b">
        <v>0</v>
      </c>
      <c r="AB100">
        <v>18.77</v>
      </c>
      <c r="AC100">
        <v>19.2</v>
      </c>
      <c r="AD100">
        <v>18.34</v>
      </c>
      <c r="AE100">
        <v>0.91</v>
      </c>
      <c r="AF100">
        <v>0.046</v>
      </c>
      <c r="AG100">
        <v>19.3</v>
      </c>
      <c r="AH100">
        <v>18.1</v>
      </c>
      <c r="AI100" t="b">
        <v>0</v>
      </c>
      <c r="AJ100">
        <v>0.329</v>
      </c>
      <c r="AK100">
        <v>18.63</v>
      </c>
      <c r="AL100">
        <v>18.56</v>
      </c>
      <c r="AM100">
        <v>18.34</v>
      </c>
      <c r="AN100">
        <v>17.02</v>
      </c>
      <c r="AO100">
        <v>18.63</v>
      </c>
      <c r="AP100" t="s">
        <v>280</v>
      </c>
      <c r="AQ100">
        <v>17.02</v>
      </c>
      <c r="AR100">
        <v>21.03</v>
      </c>
      <c r="AS100">
        <v>0.05</v>
      </c>
      <c r="AT100">
        <v>0.07000000000000001</v>
      </c>
      <c r="AU100">
        <v>60</v>
      </c>
      <c r="AV100">
        <v>0.9095230464116596</v>
      </c>
      <c r="AW100">
        <v>4</v>
      </c>
      <c r="AX100">
        <v>5.75</v>
      </c>
      <c r="AY100">
        <v>476</v>
      </c>
      <c r="AZ100">
        <v>1000</v>
      </c>
      <c r="BA100">
        <v>15000</v>
      </c>
      <c r="BD100">
        <v>15.54</v>
      </c>
      <c r="BE100">
        <v>15.93</v>
      </c>
      <c r="BF100">
        <v>4.65</v>
      </c>
      <c r="BG100">
        <v>0.71</v>
      </c>
      <c r="BH100">
        <v>1.04</v>
      </c>
      <c r="BI100">
        <v>-2.26</v>
      </c>
      <c r="BJ100">
        <v>-24.81</v>
      </c>
      <c r="BK100">
        <v>35.23</v>
      </c>
      <c r="BM100">
        <v>0.06</v>
      </c>
      <c r="BN100" t="s">
        <v>296</v>
      </c>
      <c r="BO100" t="b">
        <v>0</v>
      </c>
      <c r="BP100" s="1">
        <f>IFERROR(RANK.EQ(AX100,AX$2:AX$213,0),"")</f>
        <v>0</v>
      </c>
      <c r="BQ100">
        <f>IFERROR(Y100/Z100,"")</f>
        <v>0</v>
      </c>
      <c r="BR100">
        <f>IFERROR(U100-V100,"")</f>
        <v>0</v>
      </c>
      <c r="BS100">
        <f>IFERROR(U100&gt;V100,"")</f>
        <v>0</v>
      </c>
      <c r="BT100">
        <f>IF(AND(ISNUMBER(D100),ISNUMBER(H100),D100&gt;=H100), OR(O100=TRUE,P100=TRUE), FALSE)</f>
        <v>0</v>
      </c>
      <c r="BU100">
        <f>AND(ISNUMBER(R100), R100&gt;=45, R100&lt;=60, W100=TRUE, E100&gt;=-20)</f>
        <v>0</v>
      </c>
      <c r="BV100">
        <f>OR(AI100=TRUE,AA100=TRUE)</f>
        <v>0</v>
      </c>
      <c r="BW100">
        <f>IFERROR( (AR100-D100) / MAX(D100-AQ100,1E-9) ,"")</f>
        <v>0</v>
      </c>
      <c r="BX100">
        <f>IFERROR(BW100&gt;=2, FALSE)</f>
        <v>0</v>
      </c>
      <c r="BY100" s="1">
        <f>IFERROR(ROUNDDOWN(MIN(IF(BA100&gt;0, BA100/D100, 1E99),IF(AZ100&gt;0, AZ100/MAX(D100-AQ100,1E-9), 1E99)),0),"")</f>
        <v>0</v>
      </c>
      <c r="BZ100" s="2">
        <f>IF(AND(ISNUMBER(D100),ISNUMBER(AT100)), D100*(1-AT100), "")</f>
        <v>0</v>
      </c>
      <c r="CA100">
        <f>AND(BT100=TRUE,BU100=TRUE,BV100=TRUE,BX100=TRUE)</f>
        <v>0</v>
      </c>
    </row>
    <row r="101" spans="1:79" x14ac:dyDescent="0.25">
      <c r="A101" t="s">
        <v>166</v>
      </c>
      <c r="B101">
        <f>HYPERLINK("data/charts/CRT-UN_TO.png", "Open")</f>
        <v>0</v>
      </c>
      <c r="C101" t="s">
        <v>279</v>
      </c>
      <c r="D101">
        <v>16.16</v>
      </c>
      <c r="E101">
        <v>-1.94</v>
      </c>
      <c r="F101">
        <v>20.42</v>
      </c>
      <c r="G101">
        <v>7.4</v>
      </c>
      <c r="H101">
        <v>15.05</v>
      </c>
      <c r="I101">
        <v>0.0018</v>
      </c>
      <c r="J101" t="b">
        <v>1</v>
      </c>
      <c r="K101">
        <v>15.84</v>
      </c>
      <c r="L101">
        <v>15.72</v>
      </c>
      <c r="M101">
        <v>15.79</v>
      </c>
      <c r="N101">
        <v>15.71</v>
      </c>
      <c r="O101" t="b">
        <v>1</v>
      </c>
      <c r="P101" t="b">
        <v>1</v>
      </c>
      <c r="Q101" t="b">
        <v>1</v>
      </c>
      <c r="R101">
        <v>63.71</v>
      </c>
      <c r="S101" t="b">
        <v>0</v>
      </c>
      <c r="T101" t="b">
        <v>0</v>
      </c>
      <c r="U101">
        <v>0.0582</v>
      </c>
      <c r="V101">
        <v>-0.0048</v>
      </c>
      <c r="W101" t="b">
        <v>0</v>
      </c>
      <c r="X101" t="b">
        <v>0</v>
      </c>
      <c r="Y101">
        <v>149500</v>
      </c>
      <c r="Z101">
        <v>154565</v>
      </c>
      <c r="AA101" t="b">
        <v>0</v>
      </c>
      <c r="AB101">
        <v>15.72</v>
      </c>
      <c r="AC101">
        <v>16.11</v>
      </c>
      <c r="AD101">
        <v>15.33</v>
      </c>
      <c r="AE101">
        <v>1.06</v>
      </c>
      <c r="AF101">
        <v>0.05</v>
      </c>
      <c r="AG101">
        <v>16.18</v>
      </c>
      <c r="AH101">
        <v>15.26</v>
      </c>
      <c r="AI101" t="b">
        <v>1</v>
      </c>
      <c r="AJ101">
        <v>0.25</v>
      </c>
      <c r="AK101">
        <v>15.78</v>
      </c>
      <c r="AL101">
        <v>15.62</v>
      </c>
      <c r="AM101">
        <v>15.33</v>
      </c>
      <c r="AN101">
        <v>14.38</v>
      </c>
      <c r="AO101">
        <v>15.78</v>
      </c>
      <c r="AP101" t="s">
        <v>280</v>
      </c>
      <c r="AQ101">
        <v>14.38</v>
      </c>
      <c r="AR101">
        <v>17.78</v>
      </c>
      <c r="AS101">
        <v>0.05</v>
      </c>
      <c r="AT101">
        <v>0.07000000000000001</v>
      </c>
      <c r="AU101">
        <v>60</v>
      </c>
      <c r="AV101">
        <v>0.9101125232921587</v>
      </c>
      <c r="AW101">
        <v>4</v>
      </c>
      <c r="AX101">
        <v>5.75</v>
      </c>
      <c r="AY101">
        <v>561</v>
      </c>
      <c r="AZ101">
        <v>1000</v>
      </c>
      <c r="BA101">
        <v>15000</v>
      </c>
      <c r="BD101">
        <v>10.49</v>
      </c>
      <c r="BE101">
        <v>13.25</v>
      </c>
      <c r="BF101">
        <v>5.87</v>
      </c>
      <c r="BG101">
        <v>0.6</v>
      </c>
      <c r="BH101">
        <v>0.39</v>
      </c>
      <c r="BI101">
        <v>-0.41</v>
      </c>
      <c r="BJ101">
        <v>-2.69</v>
      </c>
      <c r="BK101">
        <v>68.77</v>
      </c>
      <c r="BM101">
        <v>-104.94</v>
      </c>
      <c r="BN101" t="s">
        <v>296</v>
      </c>
      <c r="BO101" t="b">
        <v>0</v>
      </c>
      <c r="BP101" s="1">
        <f>IFERROR(RANK.EQ(AX101,AX$2:AX$213,0),"")</f>
        <v>0</v>
      </c>
      <c r="BQ101">
        <f>IFERROR(Y101/Z101,"")</f>
        <v>0</v>
      </c>
      <c r="BR101">
        <f>IFERROR(U101-V101,"")</f>
        <v>0</v>
      </c>
      <c r="BS101">
        <f>IFERROR(U101&gt;V101,"")</f>
        <v>0</v>
      </c>
      <c r="BT101">
        <f>IF(AND(ISNUMBER(D101),ISNUMBER(H101),D101&gt;=H101), OR(O101=TRUE,P101=TRUE), FALSE)</f>
        <v>0</v>
      </c>
      <c r="BU101">
        <f>AND(ISNUMBER(R101), R101&gt;=45, R101&lt;=60, W101=TRUE, E101&gt;=-20)</f>
        <v>0</v>
      </c>
      <c r="BV101">
        <f>OR(AI101=TRUE,AA101=TRUE)</f>
        <v>0</v>
      </c>
      <c r="BW101">
        <f>IFERROR( (AR101-D101) / MAX(D101-AQ101,1E-9) ,"")</f>
        <v>0</v>
      </c>
      <c r="BX101">
        <f>IFERROR(BW101&gt;=2, FALSE)</f>
        <v>0</v>
      </c>
      <c r="BY101" s="1">
        <f>IFERROR(ROUNDDOWN(MIN(IF(BA101&gt;0, BA101/D101, 1E99),IF(AZ101&gt;0, AZ101/MAX(D101-AQ101,1E-9), 1E99)),0),"")</f>
        <v>0</v>
      </c>
      <c r="BZ101" s="2">
        <f>IF(AND(ISNUMBER(D101),ISNUMBER(AT101)), D101*(1-AT101), "")</f>
        <v>0</v>
      </c>
      <c r="CA101">
        <f>AND(BT101=TRUE,BU101=TRUE,BV101=TRUE,BX101=TRUE)</f>
        <v>0</v>
      </c>
    </row>
    <row r="102" spans="1:79" x14ac:dyDescent="0.25">
      <c r="A102" t="s">
        <v>167</v>
      </c>
      <c r="B102">
        <f>HYPERLINK("data/charts/MHK.png", "Open")</f>
        <v>0</v>
      </c>
      <c r="C102" t="s">
        <v>279</v>
      </c>
      <c r="D102">
        <v>128.08</v>
      </c>
      <c r="E102">
        <v>-22.04</v>
      </c>
      <c r="F102">
        <v>33.08</v>
      </c>
      <c r="G102">
        <v>9.27</v>
      </c>
      <c r="H102">
        <v>117.22</v>
      </c>
      <c r="I102">
        <v>-0.1875</v>
      </c>
      <c r="J102" t="b">
        <v>0</v>
      </c>
      <c r="K102">
        <v>111.74</v>
      </c>
      <c r="L102">
        <v>120.25</v>
      </c>
      <c r="M102">
        <v>120.5</v>
      </c>
      <c r="N102">
        <v>114.88</v>
      </c>
      <c r="O102" t="b">
        <v>1</v>
      </c>
      <c r="P102" t="b">
        <v>1</v>
      </c>
      <c r="Q102" t="b">
        <v>1</v>
      </c>
      <c r="R102">
        <v>65.09</v>
      </c>
      <c r="S102" t="b">
        <v>0</v>
      </c>
      <c r="T102" t="b">
        <v>0</v>
      </c>
      <c r="U102">
        <v>4.5505</v>
      </c>
      <c r="V102">
        <v>3.793</v>
      </c>
      <c r="W102" t="b">
        <v>1</v>
      </c>
      <c r="X102" t="b">
        <v>1</v>
      </c>
      <c r="Y102">
        <v>599800</v>
      </c>
      <c r="Z102">
        <v>983855</v>
      </c>
      <c r="AA102" t="b">
        <v>0</v>
      </c>
      <c r="AB102">
        <v>120.25</v>
      </c>
      <c r="AC102">
        <v>130.79</v>
      </c>
      <c r="AD102">
        <v>109.72</v>
      </c>
      <c r="AE102">
        <v>0.872</v>
      </c>
      <c r="AF102">
        <v>0.175</v>
      </c>
      <c r="AG102">
        <v>133.63</v>
      </c>
      <c r="AH102">
        <v>109.3</v>
      </c>
      <c r="AI102" t="b">
        <v>0</v>
      </c>
      <c r="AJ102">
        <v>3.452</v>
      </c>
      <c r="AK102">
        <v>122.9</v>
      </c>
      <c r="AL102">
        <v>118.4</v>
      </c>
      <c r="AM102">
        <v>109.72</v>
      </c>
      <c r="AN102">
        <v>113.99</v>
      </c>
      <c r="AO102">
        <v>122.9</v>
      </c>
      <c r="AP102" t="s">
        <v>280</v>
      </c>
      <c r="AQ102">
        <v>113.99</v>
      </c>
      <c r="AR102">
        <v>140.89</v>
      </c>
      <c r="AS102">
        <v>0.05</v>
      </c>
      <c r="AT102">
        <v>0.07000000000000001</v>
      </c>
      <c r="AU102">
        <v>60</v>
      </c>
      <c r="AV102">
        <v>0.909155181279804</v>
      </c>
      <c r="AW102">
        <v>4</v>
      </c>
      <c r="AX102">
        <v>5.75</v>
      </c>
      <c r="AY102">
        <v>70</v>
      </c>
      <c r="AZ102">
        <v>1000</v>
      </c>
      <c r="BA102">
        <v>15000</v>
      </c>
      <c r="BD102">
        <v>17.01</v>
      </c>
      <c r="BE102">
        <v>11.49</v>
      </c>
      <c r="BG102">
        <v>0</v>
      </c>
      <c r="BH102">
        <v>0.32</v>
      </c>
      <c r="BI102">
        <v>10.94</v>
      </c>
      <c r="BJ102">
        <v>102.59</v>
      </c>
      <c r="BK102">
        <v>5.23</v>
      </c>
      <c r="BM102">
        <v>-2.47</v>
      </c>
      <c r="BN102" t="s">
        <v>299</v>
      </c>
      <c r="BO102" t="b">
        <v>0</v>
      </c>
      <c r="BP102" s="1">
        <f>IFERROR(RANK.EQ(AX102,AX$2:AX$213,0),"")</f>
        <v>0</v>
      </c>
      <c r="BQ102">
        <f>IFERROR(Y102/Z102,"")</f>
        <v>0</v>
      </c>
      <c r="BR102">
        <f>IFERROR(U102-V102,"")</f>
        <v>0</v>
      </c>
      <c r="BS102">
        <f>IFERROR(U102&gt;V102,"")</f>
        <v>0</v>
      </c>
      <c r="BT102">
        <f>IF(AND(ISNUMBER(D102),ISNUMBER(H102),D102&gt;=H102), OR(O102=TRUE,P102=TRUE), FALSE)</f>
        <v>0</v>
      </c>
      <c r="BU102">
        <f>AND(ISNUMBER(R102), R102&gt;=45, R102&lt;=60, W102=TRUE, E102&gt;=-20)</f>
        <v>0</v>
      </c>
      <c r="BV102">
        <f>OR(AI102=TRUE,AA102=TRUE)</f>
        <v>0</v>
      </c>
      <c r="BW102">
        <f>IFERROR( (AR102-D102) / MAX(D102-AQ102,1E-9) ,"")</f>
        <v>0</v>
      </c>
      <c r="BX102">
        <f>IFERROR(BW102&gt;=2, FALSE)</f>
        <v>0</v>
      </c>
      <c r="BY102" s="1">
        <f>IFERROR(ROUNDDOWN(MIN(IF(BA102&gt;0, BA102/D102, 1E99),IF(AZ102&gt;0, AZ102/MAX(D102-AQ102,1E-9), 1E99)),0),"")</f>
        <v>0</v>
      </c>
      <c r="BZ102" s="2">
        <f>IF(AND(ISNUMBER(D102),ISNUMBER(AT102)), D102*(1-AT102), "")</f>
        <v>0</v>
      </c>
      <c r="CA102">
        <f>AND(BT102=TRUE,BU102=TRUE,BV102=TRUE,BX102=TRUE)</f>
        <v>0</v>
      </c>
    </row>
    <row r="103" spans="1:79" x14ac:dyDescent="0.25">
      <c r="A103" t="s">
        <v>168</v>
      </c>
      <c r="B103">
        <f>HYPERLINK("data/charts/TMUS.png", "Open")</f>
        <v>0</v>
      </c>
      <c r="C103" t="s">
        <v>279</v>
      </c>
      <c r="D103">
        <v>254.63</v>
      </c>
      <c r="E103">
        <v>-7.91</v>
      </c>
      <c r="F103">
        <v>32.2</v>
      </c>
      <c r="G103">
        <v>5.56</v>
      </c>
      <c r="H103">
        <v>241.21</v>
      </c>
      <c r="I103">
        <v>0.0615</v>
      </c>
      <c r="J103" t="b">
        <v>1</v>
      </c>
      <c r="K103">
        <v>236.18</v>
      </c>
      <c r="L103">
        <v>242.47</v>
      </c>
      <c r="M103">
        <v>243.23</v>
      </c>
      <c r="N103">
        <v>240.28</v>
      </c>
      <c r="O103" t="b">
        <v>1</v>
      </c>
      <c r="P103" t="b">
        <v>1</v>
      </c>
      <c r="Q103" t="b">
        <v>1</v>
      </c>
      <c r="R103">
        <v>67.69</v>
      </c>
      <c r="S103" t="b">
        <v>0</v>
      </c>
      <c r="T103" t="b">
        <v>0</v>
      </c>
      <c r="U103">
        <v>4.4836</v>
      </c>
      <c r="V103">
        <v>3.0846</v>
      </c>
      <c r="W103" t="b">
        <v>0</v>
      </c>
      <c r="X103" t="b">
        <v>1</v>
      </c>
      <c r="Y103">
        <v>3939400</v>
      </c>
      <c r="Z103">
        <v>4328980</v>
      </c>
      <c r="AA103" t="b">
        <v>0</v>
      </c>
      <c r="AB103">
        <v>242.47</v>
      </c>
      <c r="AC103">
        <v>255.15</v>
      </c>
      <c r="AD103">
        <v>229.8</v>
      </c>
      <c r="AE103">
        <v>0.979</v>
      </c>
      <c r="AF103">
        <v>0.105</v>
      </c>
      <c r="AG103">
        <v>256.19</v>
      </c>
      <c r="AH103">
        <v>229.61</v>
      </c>
      <c r="AI103" t="b">
        <v>1</v>
      </c>
      <c r="AJ103">
        <v>4.359</v>
      </c>
      <c r="AK103">
        <v>248.09</v>
      </c>
      <c r="AL103">
        <v>235.56</v>
      </c>
      <c r="AM103">
        <v>229.8</v>
      </c>
      <c r="AN103">
        <v>226.62</v>
      </c>
      <c r="AO103">
        <v>248.09</v>
      </c>
      <c r="AP103" t="s">
        <v>280</v>
      </c>
      <c r="AQ103">
        <v>226.62</v>
      </c>
      <c r="AR103">
        <v>280.09</v>
      </c>
      <c r="AS103">
        <v>0.05</v>
      </c>
      <c r="AT103">
        <v>0.07000000000000001</v>
      </c>
      <c r="AU103">
        <v>60</v>
      </c>
      <c r="AV103">
        <v>0.9089607525491809</v>
      </c>
      <c r="AW103">
        <v>4</v>
      </c>
      <c r="AX103">
        <v>5.75</v>
      </c>
      <c r="AY103">
        <v>35</v>
      </c>
      <c r="AZ103">
        <v>1000</v>
      </c>
      <c r="BA103">
        <v>15000</v>
      </c>
      <c r="BD103">
        <v>24.04</v>
      </c>
      <c r="BE103">
        <v>23.86</v>
      </c>
      <c r="BF103">
        <v>1.38</v>
      </c>
      <c r="BG103">
        <v>0.31</v>
      </c>
      <c r="BH103">
        <v>1.93</v>
      </c>
      <c r="BI103">
        <v>1.18</v>
      </c>
      <c r="BJ103">
        <v>9.65</v>
      </c>
      <c r="BK103">
        <v>15.25</v>
      </c>
      <c r="BM103">
        <v>2.36</v>
      </c>
      <c r="BN103" t="s">
        <v>290</v>
      </c>
      <c r="BO103" t="b">
        <v>0</v>
      </c>
      <c r="BP103" s="1">
        <f>IFERROR(RANK.EQ(AX103,AX$2:AX$213,0),"")</f>
        <v>0</v>
      </c>
      <c r="BQ103">
        <f>IFERROR(Y103/Z103,"")</f>
        <v>0</v>
      </c>
      <c r="BR103">
        <f>IFERROR(U103-V103,"")</f>
        <v>0</v>
      </c>
      <c r="BS103">
        <f>IFERROR(U103&gt;V103,"")</f>
        <v>0</v>
      </c>
      <c r="BT103">
        <f>IF(AND(ISNUMBER(D103),ISNUMBER(H103),D103&gt;=H103), OR(O103=TRUE,P103=TRUE), FALSE)</f>
        <v>0</v>
      </c>
      <c r="BU103">
        <f>AND(ISNUMBER(R103), R103&gt;=45, R103&lt;=60, W103=TRUE, E103&gt;=-20)</f>
        <v>0</v>
      </c>
      <c r="BV103">
        <f>OR(AI103=TRUE,AA103=TRUE)</f>
        <v>0</v>
      </c>
      <c r="BW103">
        <f>IFERROR( (AR103-D103) / MAX(D103-AQ103,1E-9) ,"")</f>
        <v>0</v>
      </c>
      <c r="BX103">
        <f>IFERROR(BW103&gt;=2, FALSE)</f>
        <v>0</v>
      </c>
      <c r="BY103" s="1">
        <f>IFERROR(ROUNDDOWN(MIN(IF(BA103&gt;0, BA103/D103, 1E99),IF(AZ103&gt;0, AZ103/MAX(D103-AQ103,1E-9), 1E99)),0),"")</f>
        <v>0</v>
      </c>
      <c r="BZ103" s="2">
        <f>IF(AND(ISNUMBER(D103),ISNUMBER(AT103)), D103*(1-AT103), "")</f>
        <v>0</v>
      </c>
      <c r="CA103">
        <f>AND(BT103=TRUE,BU103=TRUE,BV103=TRUE,BX103=TRUE)</f>
        <v>0</v>
      </c>
    </row>
    <row r="104" spans="1:79" x14ac:dyDescent="0.25">
      <c r="A104" t="s">
        <v>169</v>
      </c>
      <c r="B104">
        <f>HYPERLINK("data/charts/CBRE.png", "Open")</f>
        <v>0</v>
      </c>
      <c r="C104" t="s">
        <v>279</v>
      </c>
      <c r="D104">
        <v>158.93</v>
      </c>
      <c r="E104">
        <v>-1.3</v>
      </c>
      <c r="F104">
        <v>46.55</v>
      </c>
      <c r="G104">
        <v>18.13</v>
      </c>
      <c r="H104">
        <v>134.54</v>
      </c>
      <c r="I104">
        <v>0.0862</v>
      </c>
      <c r="J104" t="b">
        <v>1</v>
      </c>
      <c r="K104">
        <v>143.36</v>
      </c>
      <c r="L104">
        <v>152.89</v>
      </c>
      <c r="M104">
        <v>152.6</v>
      </c>
      <c r="N104">
        <v>145.16</v>
      </c>
      <c r="O104" t="b">
        <v>1</v>
      </c>
      <c r="P104" t="b">
        <v>1</v>
      </c>
      <c r="Q104" t="b">
        <v>1</v>
      </c>
      <c r="R104">
        <v>67.79000000000001</v>
      </c>
      <c r="S104" t="b">
        <v>0</v>
      </c>
      <c r="T104" t="b">
        <v>0</v>
      </c>
      <c r="U104">
        <v>4.5961</v>
      </c>
      <c r="V104">
        <v>4.5991</v>
      </c>
      <c r="W104" t="b">
        <v>1</v>
      </c>
      <c r="X104" t="b">
        <v>1</v>
      </c>
      <c r="Y104">
        <v>1567400</v>
      </c>
      <c r="Z104">
        <v>1761210</v>
      </c>
      <c r="AA104" t="b">
        <v>0</v>
      </c>
      <c r="AB104">
        <v>152.89</v>
      </c>
      <c r="AC104">
        <v>164.33</v>
      </c>
      <c r="AD104">
        <v>141.45</v>
      </c>
      <c r="AE104">
        <v>0.764</v>
      </c>
      <c r="AF104">
        <v>0.15</v>
      </c>
      <c r="AG104">
        <v>161.03</v>
      </c>
      <c r="AH104">
        <v>139.81</v>
      </c>
      <c r="AI104" t="b">
        <v>0</v>
      </c>
      <c r="AJ104">
        <v>2.909</v>
      </c>
      <c r="AK104">
        <v>154.57</v>
      </c>
      <c r="AL104">
        <v>153.25</v>
      </c>
      <c r="AM104">
        <v>141.45</v>
      </c>
      <c r="AN104">
        <v>141.45</v>
      </c>
      <c r="AO104">
        <v>154.57</v>
      </c>
      <c r="AP104" t="s">
        <v>280</v>
      </c>
      <c r="AQ104">
        <v>141.45</v>
      </c>
      <c r="AR104">
        <v>174.82</v>
      </c>
      <c r="AS104">
        <v>0.05</v>
      </c>
      <c r="AT104">
        <v>0.07000000000000001</v>
      </c>
      <c r="AU104">
        <v>60</v>
      </c>
      <c r="AV104">
        <v>0.9090397015002494</v>
      </c>
      <c r="AW104">
        <v>4</v>
      </c>
      <c r="AX104">
        <v>5.75</v>
      </c>
      <c r="AY104">
        <v>57</v>
      </c>
      <c r="AZ104">
        <v>1000</v>
      </c>
      <c r="BA104">
        <v>15000</v>
      </c>
      <c r="BD104">
        <v>44.64</v>
      </c>
      <c r="BE104">
        <v>26.49</v>
      </c>
      <c r="BG104">
        <v>0</v>
      </c>
      <c r="BH104">
        <v>1.11</v>
      </c>
      <c r="BI104">
        <v>9.470000000000001</v>
      </c>
      <c r="BJ104">
        <v>33.33</v>
      </c>
      <c r="BK104">
        <v>2.2</v>
      </c>
      <c r="BM104">
        <v>0.68</v>
      </c>
      <c r="BN104" t="s">
        <v>301</v>
      </c>
      <c r="BO104" t="b">
        <v>0</v>
      </c>
      <c r="BP104" s="1">
        <f>IFERROR(RANK.EQ(AX104,AX$2:AX$213,0),"")</f>
        <v>0</v>
      </c>
      <c r="BQ104">
        <f>IFERROR(Y104/Z104,"")</f>
        <v>0</v>
      </c>
      <c r="BR104">
        <f>IFERROR(U104-V104,"")</f>
        <v>0</v>
      </c>
      <c r="BS104">
        <f>IFERROR(U104&gt;V104,"")</f>
        <v>0</v>
      </c>
      <c r="BT104">
        <f>IF(AND(ISNUMBER(D104),ISNUMBER(H104),D104&gt;=H104), OR(O104=TRUE,P104=TRUE), FALSE)</f>
        <v>0</v>
      </c>
      <c r="BU104">
        <f>AND(ISNUMBER(R104), R104&gt;=45, R104&lt;=60, W104=TRUE, E104&gt;=-20)</f>
        <v>0</v>
      </c>
      <c r="BV104">
        <f>OR(AI104=TRUE,AA104=TRUE)</f>
        <v>0</v>
      </c>
      <c r="BW104">
        <f>IFERROR( (AR104-D104) / MAX(D104-AQ104,1E-9) ,"")</f>
        <v>0</v>
      </c>
      <c r="BX104">
        <f>IFERROR(BW104&gt;=2, FALSE)</f>
        <v>0</v>
      </c>
      <c r="BY104" s="1">
        <f>IFERROR(ROUNDDOWN(MIN(IF(BA104&gt;0, BA104/D104, 1E99),IF(AZ104&gt;0, AZ104/MAX(D104-AQ104,1E-9), 1E99)),0),"")</f>
        <v>0</v>
      </c>
      <c r="BZ104" s="2">
        <f>IF(AND(ISNUMBER(D104),ISNUMBER(AT104)), D104*(1-AT104), "")</f>
        <v>0</v>
      </c>
      <c r="CA104">
        <f>AND(BT104=TRUE,BU104=TRUE,BV104=TRUE,BX104=TRUE)</f>
        <v>0</v>
      </c>
    </row>
    <row r="105" spans="1:79" x14ac:dyDescent="0.25">
      <c r="A105" t="s">
        <v>170</v>
      </c>
      <c r="B105">
        <f>HYPERLINK("data/charts/SRU-UN_TO.png", "Open")</f>
        <v>0</v>
      </c>
      <c r="C105" t="s">
        <v>279</v>
      </c>
      <c r="D105">
        <v>26.73</v>
      </c>
      <c r="E105">
        <v>-2.8</v>
      </c>
      <c r="F105">
        <v>15.31</v>
      </c>
      <c r="G105">
        <v>5.73</v>
      </c>
      <c r="H105">
        <v>25.28</v>
      </c>
      <c r="I105">
        <v>-0.0124</v>
      </c>
      <c r="J105" t="b">
        <v>0</v>
      </c>
      <c r="K105">
        <v>25.71</v>
      </c>
      <c r="L105">
        <v>25.85</v>
      </c>
      <c r="M105">
        <v>25.93</v>
      </c>
      <c r="N105">
        <v>25.75</v>
      </c>
      <c r="O105" t="b">
        <v>1</v>
      </c>
      <c r="P105" t="b">
        <v>1</v>
      </c>
      <c r="Q105" t="b">
        <v>1</v>
      </c>
      <c r="R105">
        <v>72.01000000000001</v>
      </c>
      <c r="S105" t="b">
        <v>0</v>
      </c>
      <c r="T105" t="b">
        <v>0</v>
      </c>
      <c r="U105">
        <v>0.1945</v>
      </c>
      <c r="V105">
        <v>0.08400000000000001</v>
      </c>
      <c r="W105" t="b">
        <v>0</v>
      </c>
      <c r="X105" t="b">
        <v>1</v>
      </c>
      <c r="Y105">
        <v>485800</v>
      </c>
      <c r="Z105">
        <v>364580</v>
      </c>
      <c r="AA105" t="b">
        <v>0</v>
      </c>
      <c r="AB105">
        <v>25.85</v>
      </c>
      <c r="AC105">
        <v>26.55</v>
      </c>
      <c r="AD105">
        <v>25.16</v>
      </c>
      <c r="AE105">
        <v>1.132</v>
      </c>
      <c r="AF105">
        <v>0.054</v>
      </c>
      <c r="AG105">
        <v>26.75</v>
      </c>
      <c r="AH105">
        <v>25.26</v>
      </c>
      <c r="AI105" t="b">
        <v>1</v>
      </c>
      <c r="AJ105">
        <v>0.328</v>
      </c>
      <c r="AK105">
        <v>26.24</v>
      </c>
      <c r="AL105">
        <v>25.63</v>
      </c>
      <c r="AM105">
        <v>25.16</v>
      </c>
      <c r="AN105">
        <v>23.79</v>
      </c>
      <c r="AO105">
        <v>26.24</v>
      </c>
      <c r="AP105" t="s">
        <v>280</v>
      </c>
      <c r="AQ105">
        <v>23.79</v>
      </c>
      <c r="AR105">
        <v>29.4</v>
      </c>
      <c r="AS105">
        <v>0.05</v>
      </c>
      <c r="AT105">
        <v>0.07000000000000001</v>
      </c>
      <c r="AU105">
        <v>60</v>
      </c>
      <c r="AV105">
        <v>0.9081635624108696</v>
      </c>
      <c r="AW105">
        <v>4</v>
      </c>
      <c r="AX105">
        <v>5.75</v>
      </c>
      <c r="AY105">
        <v>340</v>
      </c>
      <c r="AZ105">
        <v>1000</v>
      </c>
      <c r="BA105">
        <v>15000</v>
      </c>
      <c r="BD105">
        <v>19.8</v>
      </c>
      <c r="BE105">
        <v>14.07</v>
      </c>
      <c r="BF105">
        <v>6.92</v>
      </c>
      <c r="BG105">
        <v>1.37</v>
      </c>
      <c r="BH105">
        <v>0.82</v>
      </c>
      <c r="BI105">
        <v>-2.45</v>
      </c>
      <c r="BJ105">
        <v>-1225.43</v>
      </c>
      <c r="BK105">
        <v>39.56</v>
      </c>
      <c r="BM105">
        <v>-1.29</v>
      </c>
      <c r="BN105" t="s">
        <v>296</v>
      </c>
      <c r="BO105" t="b">
        <v>0</v>
      </c>
      <c r="BP105" s="1">
        <f>IFERROR(RANK.EQ(AX105,AX$2:AX$213,0),"")</f>
        <v>0</v>
      </c>
      <c r="BQ105">
        <f>IFERROR(Y105/Z105,"")</f>
        <v>0</v>
      </c>
      <c r="BR105">
        <f>IFERROR(U105-V105,"")</f>
        <v>0</v>
      </c>
      <c r="BS105">
        <f>IFERROR(U105&gt;V105,"")</f>
        <v>0</v>
      </c>
      <c r="BT105">
        <f>IF(AND(ISNUMBER(D105),ISNUMBER(H105),D105&gt;=H105), OR(O105=TRUE,P105=TRUE), FALSE)</f>
        <v>0</v>
      </c>
      <c r="BU105">
        <f>AND(ISNUMBER(R105), R105&gt;=45, R105&lt;=60, W105=TRUE, E105&gt;=-20)</f>
        <v>0</v>
      </c>
      <c r="BV105">
        <f>OR(AI105=TRUE,AA105=TRUE)</f>
        <v>0</v>
      </c>
      <c r="BW105">
        <f>IFERROR( (AR105-D105) / MAX(D105-AQ105,1E-9) ,"")</f>
        <v>0</v>
      </c>
      <c r="BX105">
        <f>IFERROR(BW105&gt;=2, FALSE)</f>
        <v>0</v>
      </c>
      <c r="BY105" s="1">
        <f>IFERROR(ROUNDDOWN(MIN(IF(BA105&gt;0, BA105/D105, 1E99),IF(AZ105&gt;0, AZ105/MAX(D105-AQ105,1E-9), 1E99)),0),"")</f>
        <v>0</v>
      </c>
      <c r="BZ105" s="2">
        <f>IF(AND(ISNUMBER(D105),ISNUMBER(AT105)), D105*(1-AT105), "")</f>
        <v>0</v>
      </c>
      <c r="CA105">
        <f>AND(BT105=TRUE,BU105=TRUE,BV105=TRUE,BX105=TRUE)</f>
        <v>0</v>
      </c>
    </row>
    <row r="106" spans="1:79" x14ac:dyDescent="0.25">
      <c r="A106" t="s">
        <v>171</v>
      </c>
      <c r="B106">
        <f>HYPERLINK("data/charts/OGC_TO.png", "Open")</f>
        <v>0</v>
      </c>
      <c r="C106" t="s">
        <v>279</v>
      </c>
      <c r="D106">
        <v>23.42</v>
      </c>
      <c r="E106">
        <v>-0.76</v>
      </c>
      <c r="F106">
        <v>134.43</v>
      </c>
      <c r="G106">
        <v>54.21</v>
      </c>
      <c r="H106">
        <v>15.19</v>
      </c>
      <c r="I106">
        <v>0.2738</v>
      </c>
      <c r="J106" t="b">
        <v>1</v>
      </c>
      <c r="K106">
        <v>20.06</v>
      </c>
      <c r="L106">
        <v>20.53</v>
      </c>
      <c r="M106">
        <v>21.03</v>
      </c>
      <c r="N106">
        <v>19.83</v>
      </c>
      <c r="O106" t="b">
        <v>1</v>
      </c>
      <c r="P106" t="b">
        <v>1</v>
      </c>
      <c r="Q106" t="b">
        <v>1</v>
      </c>
      <c r="R106">
        <v>78.87</v>
      </c>
      <c r="S106" t="b">
        <v>0</v>
      </c>
      <c r="T106" t="b">
        <v>0</v>
      </c>
      <c r="U106">
        <v>1.0086</v>
      </c>
      <c r="V106">
        <v>0.6244</v>
      </c>
      <c r="W106" t="b">
        <v>0</v>
      </c>
      <c r="X106" t="b">
        <v>0</v>
      </c>
      <c r="Y106">
        <v>1112900</v>
      </c>
      <c r="Z106">
        <v>954860</v>
      </c>
      <c r="AA106" t="b">
        <v>0</v>
      </c>
      <c r="AB106">
        <v>20.53</v>
      </c>
      <c r="AC106">
        <v>23.9</v>
      </c>
      <c r="AD106">
        <v>17.16</v>
      </c>
      <c r="AE106">
        <v>0.929</v>
      </c>
      <c r="AF106">
        <v>0.328</v>
      </c>
      <c r="AG106">
        <v>23.6</v>
      </c>
      <c r="AH106">
        <v>18.52</v>
      </c>
      <c r="AI106" t="b">
        <v>1</v>
      </c>
      <c r="AJ106">
        <v>0.653</v>
      </c>
      <c r="AK106">
        <v>22.44</v>
      </c>
      <c r="AL106">
        <v>18.52</v>
      </c>
      <c r="AM106">
        <v>17.16</v>
      </c>
      <c r="AN106">
        <v>20.84</v>
      </c>
      <c r="AO106">
        <v>22.44</v>
      </c>
      <c r="AP106" t="s">
        <v>280</v>
      </c>
      <c r="AQ106">
        <v>20.84</v>
      </c>
      <c r="AR106">
        <v>25.76</v>
      </c>
      <c r="AS106">
        <v>0.05</v>
      </c>
      <c r="AT106">
        <v>0.07000000000000001</v>
      </c>
      <c r="AU106">
        <v>60</v>
      </c>
      <c r="AV106">
        <v>0.9069766877942738</v>
      </c>
      <c r="AW106">
        <v>4</v>
      </c>
      <c r="AX106">
        <v>5.75</v>
      </c>
      <c r="AY106">
        <v>387</v>
      </c>
      <c r="AZ106">
        <v>1000</v>
      </c>
      <c r="BA106">
        <v>15000</v>
      </c>
      <c r="BD106">
        <v>10.79</v>
      </c>
      <c r="BE106">
        <v>37.77</v>
      </c>
      <c r="BF106">
        <v>71</v>
      </c>
      <c r="BG106">
        <v>0.06</v>
      </c>
      <c r="BH106">
        <v>0.03</v>
      </c>
      <c r="BI106">
        <v>20.14</v>
      </c>
      <c r="BJ106">
        <v>16.67</v>
      </c>
      <c r="BK106">
        <v>26.39</v>
      </c>
      <c r="BM106">
        <v>0.04</v>
      </c>
      <c r="BN106" t="s">
        <v>285</v>
      </c>
      <c r="BO106" t="b">
        <v>0</v>
      </c>
      <c r="BP106" s="1">
        <f>IFERROR(RANK.EQ(AX106,AX$2:AX$213,0),"")</f>
        <v>0</v>
      </c>
      <c r="BQ106">
        <f>IFERROR(Y106/Z106,"")</f>
        <v>0</v>
      </c>
      <c r="BR106">
        <f>IFERROR(U106-V106,"")</f>
        <v>0</v>
      </c>
      <c r="BS106">
        <f>IFERROR(U106&gt;V106,"")</f>
        <v>0</v>
      </c>
      <c r="BT106">
        <f>IF(AND(ISNUMBER(D106),ISNUMBER(H106),D106&gt;=H106), OR(O106=TRUE,P106=TRUE), FALSE)</f>
        <v>0</v>
      </c>
      <c r="BU106">
        <f>AND(ISNUMBER(R106), R106&gt;=45, R106&lt;=60, W106=TRUE, E106&gt;=-20)</f>
        <v>0</v>
      </c>
      <c r="BV106">
        <f>OR(AI106=TRUE,AA106=TRUE)</f>
        <v>0</v>
      </c>
      <c r="BW106">
        <f>IFERROR( (AR106-D106) / MAX(D106-AQ106,1E-9) ,"")</f>
        <v>0</v>
      </c>
      <c r="BX106">
        <f>IFERROR(BW106&gt;=2, FALSE)</f>
        <v>0</v>
      </c>
      <c r="BY106" s="1">
        <f>IFERROR(ROUNDDOWN(MIN(IF(BA106&gt;0, BA106/D106, 1E99),IF(AZ106&gt;0, AZ106/MAX(D106-AQ106,1E-9), 1E99)),0),"")</f>
        <v>0</v>
      </c>
      <c r="BZ106" s="2">
        <f>IF(AND(ISNUMBER(D106),ISNUMBER(AT106)), D106*(1-AT106), "")</f>
        <v>0</v>
      </c>
      <c r="CA106">
        <f>AND(BT106=TRUE,BU106=TRUE,BV106=TRUE,BX106=TRUE)</f>
        <v>0</v>
      </c>
    </row>
    <row r="107" spans="1:79" x14ac:dyDescent="0.25">
      <c r="A107" t="s">
        <v>172</v>
      </c>
      <c r="B107">
        <f>HYPERLINK("data/charts/CFG.png", "Open")</f>
        <v>0</v>
      </c>
      <c r="C107" t="s">
        <v>279</v>
      </c>
      <c r="D107">
        <v>48.28</v>
      </c>
      <c r="E107">
        <v>-3.4</v>
      </c>
      <c r="F107">
        <v>48.1</v>
      </c>
      <c r="G107">
        <v>10.49</v>
      </c>
      <c r="H107">
        <v>43.7</v>
      </c>
      <c r="I107">
        <v>0.0612</v>
      </c>
      <c r="J107" t="b">
        <v>1</v>
      </c>
      <c r="K107">
        <v>45.93</v>
      </c>
      <c r="L107">
        <v>48.24</v>
      </c>
      <c r="M107">
        <v>47.76</v>
      </c>
      <c r="N107">
        <v>46.14</v>
      </c>
      <c r="O107" t="b">
        <v>1</v>
      </c>
      <c r="P107" t="b">
        <v>1</v>
      </c>
      <c r="Q107" t="b">
        <v>1</v>
      </c>
      <c r="R107">
        <v>55.31</v>
      </c>
      <c r="S107" t="b">
        <v>0</v>
      </c>
      <c r="T107" t="b">
        <v>0</v>
      </c>
      <c r="U107">
        <v>0.4978</v>
      </c>
      <c r="V107">
        <v>0.5948</v>
      </c>
      <c r="W107" t="b">
        <v>0</v>
      </c>
      <c r="X107" t="b">
        <v>1</v>
      </c>
      <c r="Y107">
        <v>2961700</v>
      </c>
      <c r="Z107">
        <v>4163730</v>
      </c>
      <c r="AA107" t="b">
        <v>0</v>
      </c>
      <c r="AB107">
        <v>48.24</v>
      </c>
      <c r="AC107">
        <v>50.24</v>
      </c>
      <c r="AD107">
        <v>46.25</v>
      </c>
      <c r="AE107">
        <v>0.509</v>
      </c>
      <c r="AF107">
        <v>0.083</v>
      </c>
      <c r="AG107">
        <v>49.98</v>
      </c>
      <c r="AH107">
        <v>45.9</v>
      </c>
      <c r="AI107" t="b">
        <v>0</v>
      </c>
      <c r="AJ107">
        <v>0.973</v>
      </c>
      <c r="AK107">
        <v>46.82</v>
      </c>
      <c r="AL107">
        <v>46.53</v>
      </c>
      <c r="AM107">
        <v>46.25</v>
      </c>
      <c r="AN107">
        <v>42.97</v>
      </c>
      <c r="AO107">
        <v>46.82</v>
      </c>
      <c r="AP107" t="s">
        <v>280</v>
      </c>
      <c r="AQ107">
        <v>42.97</v>
      </c>
      <c r="AR107">
        <v>53.11</v>
      </c>
      <c r="AS107">
        <v>0.05</v>
      </c>
      <c r="AT107">
        <v>0.07000000000000001</v>
      </c>
      <c r="AU107">
        <v>60</v>
      </c>
      <c r="AV107">
        <v>0.9096049587685008</v>
      </c>
      <c r="AW107">
        <v>3</v>
      </c>
      <c r="AX107">
        <v>5.75</v>
      </c>
      <c r="AY107">
        <v>188</v>
      </c>
      <c r="AZ107">
        <v>1000</v>
      </c>
      <c r="BA107">
        <v>15000</v>
      </c>
      <c r="BD107">
        <v>14.72</v>
      </c>
      <c r="BE107">
        <v>12.48</v>
      </c>
      <c r="BF107">
        <v>3.48</v>
      </c>
      <c r="BG107">
        <v>0.51</v>
      </c>
      <c r="BH107">
        <v>0.51</v>
      </c>
      <c r="BI107">
        <v>5.27</v>
      </c>
      <c r="BJ107">
        <v>19.23</v>
      </c>
      <c r="BK107">
        <v>21.4</v>
      </c>
      <c r="BM107">
        <v>1.31</v>
      </c>
      <c r="BN107" t="s">
        <v>286</v>
      </c>
      <c r="BO107" t="b">
        <v>0</v>
      </c>
      <c r="BP107" s="1">
        <f>IFERROR(RANK.EQ(AX107,AX$2:AX$213,0),"")</f>
        <v>0</v>
      </c>
      <c r="BQ107">
        <f>IFERROR(Y107/Z107,"")</f>
        <v>0</v>
      </c>
      <c r="BR107">
        <f>IFERROR(U107-V107,"")</f>
        <v>0</v>
      </c>
      <c r="BS107">
        <f>IFERROR(U107&gt;V107,"")</f>
        <v>0</v>
      </c>
      <c r="BT107">
        <f>IF(AND(ISNUMBER(D107),ISNUMBER(H107),D107&gt;=H107), OR(O107=TRUE,P107=TRUE), FALSE)</f>
        <v>0</v>
      </c>
      <c r="BU107">
        <f>AND(ISNUMBER(R107), R107&gt;=45, R107&lt;=60, W107=TRUE, E107&gt;=-20)</f>
        <v>0</v>
      </c>
      <c r="BV107">
        <f>OR(AI107=TRUE,AA107=TRUE)</f>
        <v>0</v>
      </c>
      <c r="BW107">
        <f>IFERROR( (AR107-D107) / MAX(D107-AQ107,1E-9) ,"")</f>
        <v>0</v>
      </c>
      <c r="BX107">
        <f>IFERROR(BW107&gt;=2, FALSE)</f>
        <v>0</v>
      </c>
      <c r="BY107" s="1">
        <f>IFERROR(ROUNDDOWN(MIN(IF(BA107&gt;0, BA107/D107, 1E99),IF(AZ107&gt;0, AZ107/MAX(D107-AQ107,1E-9), 1E99)),0),"")</f>
        <v>0</v>
      </c>
      <c r="BZ107" s="2">
        <f>IF(AND(ISNUMBER(D107),ISNUMBER(AT107)), D107*(1-AT107), "")</f>
        <v>0</v>
      </c>
      <c r="CA107">
        <f>AND(BT107=TRUE,BU107=TRUE,BV107=TRUE,BX107=TRUE)</f>
        <v>0</v>
      </c>
    </row>
    <row r="108" spans="1:79" x14ac:dyDescent="0.25">
      <c r="A108" t="s">
        <v>173</v>
      </c>
      <c r="B108">
        <f>HYPERLINK("data/charts/BYD_TO.png", "Open")</f>
        <v>0</v>
      </c>
      <c r="C108" t="s">
        <v>279</v>
      </c>
      <c r="D108">
        <v>216.05</v>
      </c>
      <c r="E108">
        <v>-16.32</v>
      </c>
      <c r="F108">
        <v>16.09</v>
      </c>
      <c r="G108">
        <v>0.54</v>
      </c>
      <c r="H108">
        <v>214.89</v>
      </c>
      <c r="I108">
        <v>-0.0143</v>
      </c>
      <c r="J108" t="b">
        <v>0</v>
      </c>
      <c r="K108">
        <v>205.33</v>
      </c>
      <c r="L108">
        <v>199.8</v>
      </c>
      <c r="M108">
        <v>201.57</v>
      </c>
      <c r="N108">
        <v>204.16</v>
      </c>
      <c r="O108" t="b">
        <v>1</v>
      </c>
      <c r="P108" t="b">
        <v>1</v>
      </c>
      <c r="Q108" t="b">
        <v>1</v>
      </c>
      <c r="R108">
        <v>64.19</v>
      </c>
      <c r="S108" t="b">
        <v>0</v>
      </c>
      <c r="T108" t="b">
        <v>0</v>
      </c>
      <c r="U108">
        <v>-0.2769</v>
      </c>
      <c r="V108">
        <v>-3.0496</v>
      </c>
      <c r="W108" t="b">
        <v>1</v>
      </c>
      <c r="X108" t="b">
        <v>1</v>
      </c>
      <c r="Y108">
        <v>87500</v>
      </c>
      <c r="Z108">
        <v>54845</v>
      </c>
      <c r="AA108" t="b">
        <v>1</v>
      </c>
      <c r="AB108">
        <v>199.8</v>
      </c>
      <c r="AC108">
        <v>219.5</v>
      </c>
      <c r="AD108">
        <v>180.09</v>
      </c>
      <c r="AE108">
        <v>0.912</v>
      </c>
      <c r="AF108">
        <v>0.197</v>
      </c>
      <c r="AG108">
        <v>229.16</v>
      </c>
      <c r="AH108">
        <v>186.1</v>
      </c>
      <c r="AI108" t="b">
        <v>0</v>
      </c>
      <c r="AJ108">
        <v>5.775</v>
      </c>
      <c r="AK108">
        <v>207.39</v>
      </c>
      <c r="AL108">
        <v>186.1</v>
      </c>
      <c r="AM108">
        <v>180.09</v>
      </c>
      <c r="AN108">
        <v>192.28</v>
      </c>
      <c r="AO108">
        <v>207.39</v>
      </c>
      <c r="AP108" t="s">
        <v>280</v>
      </c>
      <c r="AQ108">
        <v>192.28</v>
      </c>
      <c r="AR108">
        <v>237.66</v>
      </c>
      <c r="AS108">
        <v>0.05</v>
      </c>
      <c r="AT108">
        <v>0.07000000000000001</v>
      </c>
      <c r="AU108">
        <v>60</v>
      </c>
      <c r="AV108">
        <v>0.9091289092890591</v>
      </c>
      <c r="AW108">
        <v>5</v>
      </c>
      <c r="AX108">
        <v>5.5</v>
      </c>
      <c r="AY108">
        <v>42</v>
      </c>
      <c r="AZ108">
        <v>1000</v>
      </c>
      <c r="BA108">
        <v>15000</v>
      </c>
      <c r="BD108">
        <v>415.48</v>
      </c>
      <c r="BE108">
        <v>42.36</v>
      </c>
      <c r="BF108">
        <v>28</v>
      </c>
      <c r="BG108">
        <v>1.15</v>
      </c>
      <c r="BH108">
        <v>1.5</v>
      </c>
      <c r="BI108">
        <v>0.27</v>
      </c>
      <c r="BJ108">
        <v>-308.33</v>
      </c>
      <c r="BK108">
        <v>0.6899999999999999</v>
      </c>
      <c r="BM108">
        <v>-8.33</v>
      </c>
      <c r="BN108" t="s">
        <v>283</v>
      </c>
      <c r="BO108" t="b">
        <v>0</v>
      </c>
      <c r="BP108" s="1">
        <f>IFERROR(RANK.EQ(AX108,AX$2:AX$213,0),"")</f>
        <v>0</v>
      </c>
      <c r="BQ108">
        <f>IFERROR(Y108/Z108,"")</f>
        <v>0</v>
      </c>
      <c r="BR108">
        <f>IFERROR(U108-V108,"")</f>
        <v>0</v>
      </c>
      <c r="BS108">
        <f>IFERROR(U108&gt;V108,"")</f>
        <v>0</v>
      </c>
      <c r="BT108">
        <f>IF(AND(ISNUMBER(D108),ISNUMBER(H108),D108&gt;=H108), OR(O108=TRUE,P108=TRUE), FALSE)</f>
        <v>0</v>
      </c>
      <c r="BU108">
        <f>AND(ISNUMBER(R108), R108&gt;=45, R108&lt;=60, W108=TRUE, E108&gt;=-20)</f>
        <v>0</v>
      </c>
      <c r="BV108">
        <f>OR(AI108=TRUE,AA108=TRUE)</f>
        <v>0</v>
      </c>
      <c r="BW108">
        <f>IFERROR( (AR108-D108) / MAX(D108-AQ108,1E-9) ,"")</f>
        <v>0</v>
      </c>
      <c r="BX108">
        <f>IFERROR(BW108&gt;=2, FALSE)</f>
        <v>0</v>
      </c>
      <c r="BY108" s="1">
        <f>IFERROR(ROUNDDOWN(MIN(IF(BA108&gt;0, BA108/D108, 1E99),IF(AZ108&gt;0, AZ108/MAX(D108-AQ108,1E-9), 1E99)),0),"")</f>
        <v>0</v>
      </c>
      <c r="BZ108" s="2">
        <f>IF(AND(ISNUMBER(D108),ISNUMBER(AT108)), D108*(1-AT108), "")</f>
        <v>0</v>
      </c>
      <c r="CA108">
        <f>AND(BT108=TRUE,BU108=TRUE,BV108=TRUE,BX108=TRUE)</f>
        <v>0</v>
      </c>
    </row>
    <row r="109" spans="1:79" x14ac:dyDescent="0.25">
      <c r="A109" t="s">
        <v>174</v>
      </c>
      <c r="B109">
        <f>HYPERLINK("data/charts/FICO.png", "Open")</f>
        <v>0</v>
      </c>
      <c r="C109" t="s">
        <v>279</v>
      </c>
      <c r="D109">
        <v>1343.16</v>
      </c>
      <c r="E109">
        <v>-44.09</v>
      </c>
      <c r="F109">
        <v>3.32</v>
      </c>
      <c r="G109">
        <v>-28.6</v>
      </c>
      <c r="H109">
        <v>1881.17</v>
      </c>
      <c r="I109">
        <v>-0.07099999999999999</v>
      </c>
      <c r="J109" t="b">
        <v>0</v>
      </c>
      <c r="K109">
        <v>1613.49</v>
      </c>
      <c r="L109">
        <v>1420.27</v>
      </c>
      <c r="M109">
        <v>1422.47</v>
      </c>
      <c r="N109">
        <v>1563.79</v>
      </c>
      <c r="O109" t="b">
        <v>0</v>
      </c>
      <c r="P109" t="b">
        <v>0</v>
      </c>
      <c r="Q109" t="b">
        <v>0</v>
      </c>
      <c r="R109">
        <v>33.28</v>
      </c>
      <c r="S109" t="b">
        <v>1</v>
      </c>
      <c r="T109" t="b">
        <v>1</v>
      </c>
      <c r="U109">
        <v>-86.1795</v>
      </c>
      <c r="V109">
        <v>-89.44710000000001</v>
      </c>
      <c r="W109" t="b">
        <v>1</v>
      </c>
      <c r="X109" t="b">
        <v>1</v>
      </c>
      <c r="Y109">
        <v>217800</v>
      </c>
      <c r="Z109">
        <v>350680</v>
      </c>
      <c r="AA109" t="b">
        <v>0</v>
      </c>
      <c r="AB109">
        <v>1420.27</v>
      </c>
      <c r="AC109">
        <v>1602.26</v>
      </c>
      <c r="AD109">
        <v>1238.29</v>
      </c>
      <c r="AE109">
        <v>0.288</v>
      </c>
      <c r="AF109">
        <v>0.256</v>
      </c>
      <c r="AG109">
        <v>1568</v>
      </c>
      <c r="AH109">
        <v>1300</v>
      </c>
      <c r="AI109" t="b">
        <v>0</v>
      </c>
      <c r="AJ109">
        <v>51.214</v>
      </c>
      <c r="AK109">
        <v>1266.34</v>
      </c>
      <c r="AL109">
        <v>1512.25</v>
      </c>
      <c r="AM109">
        <v>1238.29</v>
      </c>
      <c r="AN109">
        <v>1195.41</v>
      </c>
      <c r="AO109">
        <v>1266.34</v>
      </c>
      <c r="AP109" t="s">
        <v>280</v>
      </c>
      <c r="AQ109">
        <v>1195.41</v>
      </c>
      <c r="AR109">
        <v>1477.48</v>
      </c>
      <c r="AS109">
        <v>0.05</v>
      </c>
      <c r="AT109">
        <v>0.07000000000000001</v>
      </c>
      <c r="AU109">
        <v>60</v>
      </c>
      <c r="AV109">
        <v>0.9091027732484867</v>
      </c>
      <c r="AW109">
        <v>4</v>
      </c>
      <c r="AX109">
        <v>5.5</v>
      </c>
      <c r="AY109">
        <v>6</v>
      </c>
      <c r="AZ109">
        <v>1000</v>
      </c>
      <c r="BA109">
        <v>15000</v>
      </c>
      <c r="BD109">
        <v>52.63</v>
      </c>
      <c r="BE109">
        <v>36.14</v>
      </c>
      <c r="BG109">
        <v>0</v>
      </c>
      <c r="BH109">
        <v>-2</v>
      </c>
      <c r="BI109">
        <v>7.56</v>
      </c>
      <c r="BJ109">
        <v>12.29</v>
      </c>
      <c r="BK109">
        <v>33.89</v>
      </c>
      <c r="BM109">
        <v>1.2</v>
      </c>
      <c r="BN109" t="s">
        <v>286</v>
      </c>
      <c r="BO109" t="b">
        <v>0</v>
      </c>
      <c r="BP109" s="1">
        <f>IFERROR(RANK.EQ(AX109,AX$2:AX$213,0),"")</f>
        <v>0</v>
      </c>
      <c r="BQ109">
        <f>IFERROR(Y109/Z109,"")</f>
        <v>0</v>
      </c>
      <c r="BR109">
        <f>IFERROR(U109-V109,"")</f>
        <v>0</v>
      </c>
      <c r="BS109">
        <f>IFERROR(U109&gt;V109,"")</f>
        <v>0</v>
      </c>
      <c r="BT109">
        <f>IF(AND(ISNUMBER(D109),ISNUMBER(H109),D109&gt;=H109), OR(O109=TRUE,P109=TRUE), FALSE)</f>
        <v>0</v>
      </c>
      <c r="BU109">
        <f>AND(ISNUMBER(R109), R109&gt;=45, R109&lt;=60, W109=TRUE, E109&gt;=-20)</f>
        <v>0</v>
      </c>
      <c r="BV109">
        <f>OR(AI109=TRUE,AA109=TRUE)</f>
        <v>0</v>
      </c>
      <c r="BW109">
        <f>IFERROR( (AR109-D109) / MAX(D109-AQ109,1E-9) ,"")</f>
        <v>0</v>
      </c>
      <c r="BX109">
        <f>IFERROR(BW109&gt;=2, FALSE)</f>
        <v>0</v>
      </c>
      <c r="BY109" s="1">
        <f>IFERROR(ROUNDDOWN(MIN(IF(BA109&gt;0, BA109/D109, 1E99),IF(AZ109&gt;0, AZ109/MAX(D109-AQ109,1E-9), 1E99)),0),"")</f>
        <v>0</v>
      </c>
      <c r="BZ109" s="2">
        <f>IF(AND(ISNUMBER(D109),ISNUMBER(AT109)), D109*(1-AT109), "")</f>
        <v>0</v>
      </c>
      <c r="CA109">
        <f>AND(BT109=TRUE,BU109=TRUE,BV109=TRUE,BX109=TRUE)</f>
        <v>0</v>
      </c>
    </row>
    <row r="110" spans="1:79" x14ac:dyDescent="0.25">
      <c r="A110" t="s">
        <v>175</v>
      </c>
      <c r="B110">
        <f>HYPERLINK("data/charts/ADBE.png", "Open")</f>
        <v>0</v>
      </c>
      <c r="C110" t="s">
        <v>279</v>
      </c>
      <c r="D110">
        <v>354.85</v>
      </c>
      <c r="E110">
        <v>-39.63</v>
      </c>
      <c r="F110">
        <v>7.52</v>
      </c>
      <c r="G110">
        <v>-15.3</v>
      </c>
      <c r="H110">
        <v>418.97</v>
      </c>
      <c r="I110">
        <v>-0.1879</v>
      </c>
      <c r="J110" t="b">
        <v>0</v>
      </c>
      <c r="K110">
        <v>373.33</v>
      </c>
      <c r="L110">
        <v>354.71</v>
      </c>
      <c r="M110">
        <v>353.86</v>
      </c>
      <c r="N110">
        <v>367.48</v>
      </c>
      <c r="O110" t="b">
        <v>1</v>
      </c>
      <c r="P110" t="b">
        <v>0</v>
      </c>
      <c r="Q110" t="b">
        <v>1</v>
      </c>
      <c r="R110">
        <v>48.17</v>
      </c>
      <c r="S110" t="b">
        <v>0</v>
      </c>
      <c r="T110" t="b">
        <v>0</v>
      </c>
      <c r="U110">
        <v>-7.9392</v>
      </c>
      <c r="V110">
        <v>-9.248900000000001</v>
      </c>
      <c r="W110" t="b">
        <v>1</v>
      </c>
      <c r="X110" t="b">
        <v>0</v>
      </c>
      <c r="Y110">
        <v>3717400</v>
      </c>
      <c r="Z110">
        <v>3647135</v>
      </c>
      <c r="AA110" t="b">
        <v>0</v>
      </c>
      <c r="AB110">
        <v>354.71</v>
      </c>
      <c r="AC110">
        <v>382.21</v>
      </c>
      <c r="AD110">
        <v>327.21</v>
      </c>
      <c r="AE110">
        <v>0.503</v>
      </c>
      <c r="AF110">
        <v>0.155</v>
      </c>
      <c r="AG110">
        <v>376.16</v>
      </c>
      <c r="AH110">
        <v>330.04</v>
      </c>
      <c r="AI110" t="b">
        <v>0</v>
      </c>
      <c r="AJ110">
        <v>8.880000000000001</v>
      </c>
      <c r="AK110">
        <v>341.53</v>
      </c>
      <c r="AL110">
        <v>330.04</v>
      </c>
      <c r="AM110">
        <v>327.21</v>
      </c>
      <c r="AN110">
        <v>315.82</v>
      </c>
      <c r="AO110">
        <v>341.53</v>
      </c>
      <c r="AP110" t="s">
        <v>280</v>
      </c>
      <c r="AQ110">
        <v>315.82</v>
      </c>
      <c r="AR110">
        <v>390.34</v>
      </c>
      <c r="AS110">
        <v>0.05</v>
      </c>
      <c r="AT110">
        <v>0.07000000000000001</v>
      </c>
      <c r="AU110">
        <v>60</v>
      </c>
      <c r="AV110">
        <v>0.9093002394710767</v>
      </c>
      <c r="AW110">
        <v>4</v>
      </c>
      <c r="AX110">
        <v>5.5</v>
      </c>
      <c r="AY110">
        <v>25</v>
      </c>
      <c r="AZ110">
        <v>1000</v>
      </c>
      <c r="BA110">
        <v>15000</v>
      </c>
      <c r="BD110">
        <v>22.73</v>
      </c>
      <c r="BE110">
        <v>17.27</v>
      </c>
      <c r="BG110">
        <v>0</v>
      </c>
      <c r="BH110">
        <v>0.57</v>
      </c>
      <c r="BI110">
        <v>2.78</v>
      </c>
      <c r="BJ110">
        <v>-4.82</v>
      </c>
      <c r="BK110">
        <v>28.79</v>
      </c>
      <c r="BM110">
        <v>3.03</v>
      </c>
      <c r="BN110" t="s">
        <v>316</v>
      </c>
      <c r="BO110" t="b">
        <v>0</v>
      </c>
      <c r="BP110" s="1">
        <f>IFERROR(RANK.EQ(AX110,AX$2:AX$213,0),"")</f>
        <v>0</v>
      </c>
      <c r="BQ110">
        <f>IFERROR(Y110/Z110,"")</f>
        <v>0</v>
      </c>
      <c r="BR110">
        <f>IFERROR(U110-V110,"")</f>
        <v>0</v>
      </c>
      <c r="BS110">
        <f>IFERROR(U110&gt;V110,"")</f>
        <v>0</v>
      </c>
      <c r="BT110">
        <f>IF(AND(ISNUMBER(D110),ISNUMBER(H110),D110&gt;=H110), OR(O110=TRUE,P110=TRUE), FALSE)</f>
        <v>0</v>
      </c>
      <c r="BU110">
        <f>AND(ISNUMBER(R110), R110&gt;=45, R110&lt;=60, W110=TRUE, E110&gt;=-20)</f>
        <v>0</v>
      </c>
      <c r="BV110">
        <f>OR(AI110=TRUE,AA110=TRUE)</f>
        <v>0</v>
      </c>
      <c r="BW110">
        <f>IFERROR( (AR110-D110) / MAX(D110-AQ110,1E-9) ,"")</f>
        <v>0</v>
      </c>
      <c r="BX110">
        <f>IFERROR(BW110&gt;=2, FALSE)</f>
        <v>0</v>
      </c>
      <c r="BY110" s="1">
        <f>IFERROR(ROUNDDOWN(MIN(IF(BA110&gt;0, BA110/D110, 1E99),IF(AZ110&gt;0, AZ110/MAX(D110-AQ110,1E-9), 1E99)),0),"")</f>
        <v>0</v>
      </c>
      <c r="BZ110" s="2">
        <f>IF(AND(ISNUMBER(D110),ISNUMBER(AT110)), D110*(1-AT110), "")</f>
        <v>0</v>
      </c>
      <c r="CA110">
        <f>AND(BT110=TRUE,BU110=TRUE,BV110=TRUE,BX110=TRUE)</f>
        <v>0</v>
      </c>
    </row>
    <row r="111" spans="1:79" x14ac:dyDescent="0.25">
      <c r="A111" t="s">
        <v>176</v>
      </c>
      <c r="B111">
        <f>HYPERLINK("data/charts/ADI.png", "Open")</f>
        <v>0</v>
      </c>
      <c r="C111" t="s">
        <v>279</v>
      </c>
      <c r="D111">
        <v>231.63</v>
      </c>
      <c r="E111">
        <v>-6.5</v>
      </c>
      <c r="F111">
        <v>46</v>
      </c>
      <c r="G111">
        <v>6.71</v>
      </c>
      <c r="H111">
        <v>217.06</v>
      </c>
      <c r="I111">
        <v>0.0196</v>
      </c>
      <c r="J111" t="b">
        <v>1</v>
      </c>
      <c r="K111">
        <v>232.98</v>
      </c>
      <c r="L111">
        <v>228.48</v>
      </c>
      <c r="M111">
        <v>230.17</v>
      </c>
      <c r="N111">
        <v>228.75</v>
      </c>
      <c r="O111" t="b">
        <v>1</v>
      </c>
      <c r="P111" t="b">
        <v>1</v>
      </c>
      <c r="Q111" t="b">
        <v>1</v>
      </c>
      <c r="R111">
        <v>51.84</v>
      </c>
      <c r="S111" t="b">
        <v>0</v>
      </c>
      <c r="T111" t="b">
        <v>0</v>
      </c>
      <c r="U111">
        <v>-0.4908</v>
      </c>
      <c r="V111">
        <v>-1.6151</v>
      </c>
      <c r="W111" t="b">
        <v>1</v>
      </c>
      <c r="X111" t="b">
        <v>1</v>
      </c>
      <c r="Y111">
        <v>3826400</v>
      </c>
      <c r="Z111">
        <v>3670910</v>
      </c>
      <c r="AA111" t="b">
        <v>0</v>
      </c>
      <c r="AB111">
        <v>228.48</v>
      </c>
      <c r="AC111">
        <v>240.05</v>
      </c>
      <c r="AD111">
        <v>216.91</v>
      </c>
      <c r="AE111">
        <v>0.636</v>
      </c>
      <c r="AF111">
        <v>0.101</v>
      </c>
      <c r="AG111">
        <v>245.72</v>
      </c>
      <c r="AH111">
        <v>218.37</v>
      </c>
      <c r="AI111" t="b">
        <v>0</v>
      </c>
      <c r="AJ111">
        <v>4.781</v>
      </c>
      <c r="AK111">
        <v>224.46</v>
      </c>
      <c r="AL111">
        <v>218.37</v>
      </c>
      <c r="AM111">
        <v>216.91</v>
      </c>
      <c r="AN111">
        <v>206.15</v>
      </c>
      <c r="AO111">
        <v>224.46</v>
      </c>
      <c r="AP111" t="s">
        <v>280</v>
      </c>
      <c r="AQ111">
        <v>206.15</v>
      </c>
      <c r="AR111">
        <v>254.79</v>
      </c>
      <c r="AS111">
        <v>0.05</v>
      </c>
      <c r="AT111">
        <v>0.07000000000000001</v>
      </c>
      <c r="AU111">
        <v>60</v>
      </c>
      <c r="AV111">
        <v>0.9089478288448067</v>
      </c>
      <c r="AW111">
        <v>4</v>
      </c>
      <c r="AX111">
        <v>5.5</v>
      </c>
      <c r="AY111">
        <v>39</v>
      </c>
      <c r="AZ111">
        <v>1000</v>
      </c>
      <c r="BA111">
        <v>15000</v>
      </c>
      <c r="BD111">
        <v>62.94</v>
      </c>
      <c r="BE111">
        <v>30.72</v>
      </c>
      <c r="BF111">
        <v>1.71</v>
      </c>
      <c r="BG111">
        <v>1.02</v>
      </c>
      <c r="BH111">
        <v>0.21</v>
      </c>
      <c r="BI111">
        <v>8.949999999999999</v>
      </c>
      <c r="BJ111">
        <v>45.57</v>
      </c>
      <c r="BK111">
        <v>21.58</v>
      </c>
      <c r="BM111">
        <v>0.71</v>
      </c>
      <c r="BN111" t="s">
        <v>286</v>
      </c>
      <c r="BO111" t="b">
        <v>0</v>
      </c>
      <c r="BP111" s="1">
        <f>IFERROR(RANK.EQ(AX111,AX$2:AX$213,0),"")</f>
        <v>0</v>
      </c>
      <c r="BQ111">
        <f>IFERROR(Y111/Z111,"")</f>
        <v>0</v>
      </c>
      <c r="BR111">
        <f>IFERROR(U111-V111,"")</f>
        <v>0</v>
      </c>
      <c r="BS111">
        <f>IFERROR(U111&gt;V111,"")</f>
        <v>0</v>
      </c>
      <c r="BT111">
        <f>IF(AND(ISNUMBER(D111),ISNUMBER(H111),D111&gt;=H111), OR(O111=TRUE,P111=TRUE), FALSE)</f>
        <v>0</v>
      </c>
      <c r="BU111">
        <f>AND(ISNUMBER(R111), R111&gt;=45, R111&lt;=60, W111=TRUE, E111&gt;=-20)</f>
        <v>0</v>
      </c>
      <c r="BV111">
        <f>OR(AI111=TRUE,AA111=TRUE)</f>
        <v>0</v>
      </c>
      <c r="BW111">
        <f>IFERROR( (AR111-D111) / MAX(D111-AQ111,1E-9) ,"")</f>
        <v>0</v>
      </c>
      <c r="BX111">
        <f>IFERROR(BW111&gt;=2, FALSE)</f>
        <v>0</v>
      </c>
      <c r="BY111" s="1">
        <f>IFERROR(ROUNDDOWN(MIN(IF(BA111&gt;0, BA111/D111, 1E99),IF(AZ111&gt;0, AZ111/MAX(D111-AQ111,1E-9), 1E99)),0),"")</f>
        <v>0</v>
      </c>
      <c r="BZ111" s="2">
        <f>IF(AND(ISNUMBER(D111),ISNUMBER(AT111)), D111*(1-AT111), "")</f>
        <v>0</v>
      </c>
      <c r="CA111">
        <f>AND(BT111=TRUE,BU111=TRUE,BV111=TRUE,BX111=TRUE)</f>
        <v>0</v>
      </c>
    </row>
    <row r="112" spans="1:79" x14ac:dyDescent="0.25">
      <c r="A112" t="s">
        <v>177</v>
      </c>
      <c r="B112">
        <f>HYPERLINK("data/charts/SNA.png", "Open")</f>
        <v>0</v>
      </c>
      <c r="C112" t="s">
        <v>279</v>
      </c>
      <c r="D112">
        <v>326.01</v>
      </c>
      <c r="E112">
        <v>-12.81</v>
      </c>
      <c r="F112">
        <v>21.24</v>
      </c>
      <c r="G112">
        <v>-2.14</v>
      </c>
      <c r="H112">
        <v>333.13</v>
      </c>
      <c r="I112">
        <v>0.0503</v>
      </c>
      <c r="J112" t="b">
        <v>1</v>
      </c>
      <c r="K112">
        <v>319.89</v>
      </c>
      <c r="L112">
        <v>325.15</v>
      </c>
      <c r="M112">
        <v>323.97</v>
      </c>
      <c r="N112">
        <v>322.31</v>
      </c>
      <c r="O112" t="b">
        <v>1</v>
      </c>
      <c r="P112" t="b">
        <v>1</v>
      </c>
      <c r="Q112" t="b">
        <v>1</v>
      </c>
      <c r="R112">
        <v>52.93</v>
      </c>
      <c r="S112" t="b">
        <v>0</v>
      </c>
      <c r="T112" t="b">
        <v>0</v>
      </c>
      <c r="U112">
        <v>1.2714</v>
      </c>
      <c r="V112">
        <v>1.114</v>
      </c>
      <c r="W112" t="b">
        <v>1</v>
      </c>
      <c r="X112" t="b">
        <v>1</v>
      </c>
      <c r="Y112">
        <v>378800</v>
      </c>
      <c r="Z112">
        <v>283235</v>
      </c>
      <c r="AA112" t="b">
        <v>0</v>
      </c>
      <c r="AB112">
        <v>325.15</v>
      </c>
      <c r="AC112">
        <v>334.05</v>
      </c>
      <c r="AD112">
        <v>316.25</v>
      </c>
      <c r="AE112">
        <v>0.548</v>
      </c>
      <c r="AF112">
        <v>0.055</v>
      </c>
      <c r="AG112">
        <v>339.08</v>
      </c>
      <c r="AH112">
        <v>312.78</v>
      </c>
      <c r="AI112" t="b">
        <v>0</v>
      </c>
      <c r="AJ112">
        <v>5.285</v>
      </c>
      <c r="AK112">
        <v>318.08</v>
      </c>
      <c r="AL112">
        <v>319.62</v>
      </c>
      <c r="AM112">
        <v>316.25</v>
      </c>
      <c r="AN112">
        <v>290.15</v>
      </c>
      <c r="AO112">
        <v>319.62</v>
      </c>
      <c r="AP112" t="s">
        <v>282</v>
      </c>
      <c r="AQ112">
        <v>290.15</v>
      </c>
      <c r="AR112">
        <v>358.61</v>
      </c>
      <c r="AS112">
        <v>0.05</v>
      </c>
      <c r="AT112">
        <v>0.07000000000000001</v>
      </c>
      <c r="AU112">
        <v>60</v>
      </c>
      <c r="AV112">
        <v>0.9090903891951801</v>
      </c>
      <c r="AW112">
        <v>4</v>
      </c>
      <c r="AX112">
        <v>5.5</v>
      </c>
      <c r="AY112">
        <v>27</v>
      </c>
      <c r="AZ112">
        <v>1000</v>
      </c>
      <c r="BA112">
        <v>15000</v>
      </c>
      <c r="BD112">
        <v>17.36</v>
      </c>
      <c r="BE112">
        <v>16.2</v>
      </c>
      <c r="BF112">
        <v>2.63</v>
      </c>
      <c r="BG112">
        <v>0.44</v>
      </c>
      <c r="BH112">
        <v>0.22</v>
      </c>
      <c r="BI112">
        <v>3.05</v>
      </c>
      <c r="BJ112">
        <v>4.58</v>
      </c>
      <c r="BK112">
        <v>19.54</v>
      </c>
      <c r="BM112">
        <v>-2.25</v>
      </c>
      <c r="BN112" t="s">
        <v>297</v>
      </c>
      <c r="BO112" t="b">
        <v>0</v>
      </c>
      <c r="BP112" s="1">
        <f>IFERROR(RANK.EQ(AX112,AX$2:AX$213,0),"")</f>
        <v>0</v>
      </c>
      <c r="BQ112">
        <f>IFERROR(Y112/Z112,"")</f>
        <v>0</v>
      </c>
      <c r="BR112">
        <f>IFERROR(U112-V112,"")</f>
        <v>0</v>
      </c>
      <c r="BS112">
        <f>IFERROR(U112&gt;V112,"")</f>
        <v>0</v>
      </c>
      <c r="BT112">
        <f>IF(AND(ISNUMBER(D112),ISNUMBER(H112),D112&gt;=H112), OR(O112=TRUE,P112=TRUE), FALSE)</f>
        <v>0</v>
      </c>
      <c r="BU112">
        <f>AND(ISNUMBER(R112), R112&gt;=45, R112&lt;=60, W112=TRUE, E112&gt;=-20)</f>
        <v>0</v>
      </c>
      <c r="BV112">
        <f>OR(AI112=TRUE,AA112=TRUE)</f>
        <v>0</v>
      </c>
      <c r="BW112">
        <f>IFERROR( (AR112-D112) / MAX(D112-AQ112,1E-9) ,"")</f>
        <v>0</v>
      </c>
      <c r="BX112">
        <f>IFERROR(BW112&gt;=2, FALSE)</f>
        <v>0</v>
      </c>
      <c r="BY112" s="1">
        <f>IFERROR(ROUNDDOWN(MIN(IF(BA112&gt;0, BA112/D112, 1E99),IF(AZ112&gt;0, AZ112/MAX(D112-AQ112,1E-9), 1E99)),0),"")</f>
        <v>0</v>
      </c>
      <c r="BZ112" s="2">
        <f>IF(AND(ISNUMBER(D112),ISNUMBER(AT112)), D112*(1-AT112), "")</f>
        <v>0</v>
      </c>
      <c r="CA112">
        <f>AND(BT112=TRUE,BU112=TRUE,BV112=TRUE,BX112=TRUE)</f>
        <v>0</v>
      </c>
    </row>
    <row r="113" spans="1:79" x14ac:dyDescent="0.25">
      <c r="A113" t="s">
        <v>178</v>
      </c>
      <c r="B113">
        <f>HYPERLINK("data/charts/NWSA.png", "Open")</f>
        <v>0</v>
      </c>
      <c r="C113" t="s">
        <v>279</v>
      </c>
      <c r="D113">
        <v>29.47</v>
      </c>
      <c r="E113">
        <v>-4.16</v>
      </c>
      <c r="F113">
        <v>26.05</v>
      </c>
      <c r="G113">
        <v>4.5</v>
      </c>
      <c r="H113">
        <v>28.2</v>
      </c>
      <c r="I113">
        <v>0.0491</v>
      </c>
      <c r="J113" t="b">
        <v>1</v>
      </c>
      <c r="K113">
        <v>29.08</v>
      </c>
      <c r="L113">
        <v>29.25</v>
      </c>
      <c r="M113">
        <v>29.26</v>
      </c>
      <c r="N113">
        <v>29.01</v>
      </c>
      <c r="O113" t="b">
        <v>1</v>
      </c>
      <c r="P113" t="b">
        <v>1</v>
      </c>
      <c r="Q113" t="b">
        <v>1</v>
      </c>
      <c r="R113">
        <v>53.26</v>
      </c>
      <c r="S113" t="b">
        <v>0</v>
      </c>
      <c r="T113" t="b">
        <v>0</v>
      </c>
      <c r="U113">
        <v>0.025</v>
      </c>
      <c r="V113">
        <v>0.008200000000000001</v>
      </c>
      <c r="W113" t="b">
        <v>1</v>
      </c>
      <c r="X113" t="b">
        <v>1</v>
      </c>
      <c r="Y113">
        <v>7741800</v>
      </c>
      <c r="Z113">
        <v>3490700</v>
      </c>
      <c r="AA113" t="b">
        <v>0</v>
      </c>
      <c r="AB113">
        <v>29.25</v>
      </c>
      <c r="AC113">
        <v>29.94</v>
      </c>
      <c r="AD113">
        <v>28.56</v>
      </c>
      <c r="AE113">
        <v>0.66</v>
      </c>
      <c r="AF113">
        <v>0.047</v>
      </c>
      <c r="AG113">
        <v>30.12</v>
      </c>
      <c r="AH113">
        <v>28.21</v>
      </c>
      <c r="AI113" t="b">
        <v>0</v>
      </c>
      <c r="AJ113">
        <v>0.628</v>
      </c>
      <c r="AK113">
        <v>28.53</v>
      </c>
      <c r="AL113">
        <v>28.21</v>
      </c>
      <c r="AM113">
        <v>28.56</v>
      </c>
      <c r="AN113">
        <v>26.23</v>
      </c>
      <c r="AO113">
        <v>28.56</v>
      </c>
      <c r="AP113" t="s">
        <v>281</v>
      </c>
      <c r="AQ113">
        <v>26.23</v>
      </c>
      <c r="AR113">
        <v>32.42</v>
      </c>
      <c r="AS113">
        <v>0.05</v>
      </c>
      <c r="AT113">
        <v>0.07000000000000001</v>
      </c>
      <c r="AU113">
        <v>60</v>
      </c>
      <c r="AV113">
        <v>0.9104942320470013</v>
      </c>
      <c r="AW113">
        <v>4</v>
      </c>
      <c r="AX113">
        <v>5.5</v>
      </c>
      <c r="AY113">
        <v>308</v>
      </c>
      <c r="AZ113">
        <v>1000</v>
      </c>
      <c r="BA113">
        <v>15000</v>
      </c>
      <c r="BD113">
        <v>35.07</v>
      </c>
      <c r="BE113">
        <v>27.79</v>
      </c>
      <c r="BF113">
        <v>68</v>
      </c>
      <c r="BG113">
        <v>0.24</v>
      </c>
      <c r="BH113">
        <v>0.31</v>
      </c>
      <c r="BI113">
        <v>4.98</v>
      </c>
      <c r="BJ113">
        <v>621.36</v>
      </c>
      <c r="BK113">
        <v>35.23</v>
      </c>
      <c r="BM113">
        <v>0.03</v>
      </c>
      <c r="BN113" t="s">
        <v>290</v>
      </c>
      <c r="BO113" t="b">
        <v>0</v>
      </c>
      <c r="BP113" s="1">
        <f>IFERROR(RANK.EQ(AX113,AX$2:AX$213,0),"")</f>
        <v>0</v>
      </c>
      <c r="BQ113">
        <f>IFERROR(Y113/Z113,"")</f>
        <v>0</v>
      </c>
      <c r="BR113">
        <f>IFERROR(U113-V113,"")</f>
        <v>0</v>
      </c>
      <c r="BS113">
        <f>IFERROR(U113&gt;V113,"")</f>
        <v>0</v>
      </c>
      <c r="BT113">
        <f>IF(AND(ISNUMBER(D113),ISNUMBER(H113),D113&gt;=H113), OR(O113=TRUE,P113=TRUE), FALSE)</f>
        <v>0</v>
      </c>
      <c r="BU113">
        <f>AND(ISNUMBER(R113), R113&gt;=45, R113&lt;=60, W113=TRUE, E113&gt;=-20)</f>
        <v>0</v>
      </c>
      <c r="BV113">
        <f>OR(AI113=TRUE,AA113=TRUE)</f>
        <v>0</v>
      </c>
      <c r="BW113">
        <f>IFERROR( (AR113-D113) / MAX(D113-AQ113,1E-9) ,"")</f>
        <v>0</v>
      </c>
      <c r="BX113">
        <f>IFERROR(BW113&gt;=2, FALSE)</f>
        <v>0</v>
      </c>
      <c r="BY113" s="1">
        <f>IFERROR(ROUNDDOWN(MIN(IF(BA113&gt;0, BA113/D113, 1E99),IF(AZ113&gt;0, AZ113/MAX(D113-AQ113,1E-9), 1E99)),0),"")</f>
        <v>0</v>
      </c>
      <c r="BZ113" s="2">
        <f>IF(AND(ISNUMBER(D113),ISNUMBER(AT113)), D113*(1-AT113), "")</f>
        <v>0</v>
      </c>
      <c r="CA113">
        <f>AND(BT113=TRUE,BU113=TRUE,BV113=TRUE,BX113=TRUE)</f>
        <v>0</v>
      </c>
    </row>
    <row r="114" spans="1:79" x14ac:dyDescent="0.25">
      <c r="A114" t="s">
        <v>179</v>
      </c>
      <c r="B114">
        <f>HYPERLINK("data/charts/KNT_TO.png", "Open")</f>
        <v>0</v>
      </c>
      <c r="C114" t="s">
        <v>279</v>
      </c>
      <c r="D114">
        <v>15.16</v>
      </c>
      <c r="E114">
        <v>-6.54</v>
      </c>
      <c r="F114">
        <v>116.11</v>
      </c>
      <c r="G114">
        <v>28.23</v>
      </c>
      <c r="H114">
        <v>11.82</v>
      </c>
      <c r="I114">
        <v>0.2958</v>
      </c>
      <c r="J114" t="b">
        <v>1</v>
      </c>
      <c r="K114">
        <v>15.18</v>
      </c>
      <c r="L114">
        <v>14.89</v>
      </c>
      <c r="M114">
        <v>14.94</v>
      </c>
      <c r="N114">
        <v>14.74</v>
      </c>
      <c r="O114" t="b">
        <v>1</v>
      </c>
      <c r="P114" t="b">
        <v>1</v>
      </c>
      <c r="Q114" t="b">
        <v>1</v>
      </c>
      <c r="R114">
        <v>54.01</v>
      </c>
      <c r="S114" t="b">
        <v>0</v>
      </c>
      <c r="T114" t="b">
        <v>0</v>
      </c>
      <c r="U114">
        <v>0.0174</v>
      </c>
      <c r="V114">
        <v>-0.0007</v>
      </c>
      <c r="W114" t="b">
        <v>0</v>
      </c>
      <c r="X114" t="b">
        <v>0</v>
      </c>
      <c r="Y114">
        <v>1541200</v>
      </c>
      <c r="Z114">
        <v>727330</v>
      </c>
      <c r="AA114" t="b">
        <v>1</v>
      </c>
      <c r="AB114">
        <v>14.89</v>
      </c>
      <c r="AC114">
        <v>15.53</v>
      </c>
      <c r="AD114">
        <v>14.25</v>
      </c>
      <c r="AE114">
        <v>0.71</v>
      </c>
      <c r="AF114">
        <v>0.08599999999999999</v>
      </c>
      <c r="AG114">
        <v>15.77</v>
      </c>
      <c r="AH114">
        <v>14.12</v>
      </c>
      <c r="AI114" t="b">
        <v>0</v>
      </c>
      <c r="AJ114">
        <v>0.458</v>
      </c>
      <c r="AK114">
        <v>14.47</v>
      </c>
      <c r="AL114">
        <v>14.12</v>
      </c>
      <c r="AM114">
        <v>14.25</v>
      </c>
      <c r="AN114">
        <v>13.49</v>
      </c>
      <c r="AO114">
        <v>14.47</v>
      </c>
      <c r="AP114" t="s">
        <v>280</v>
      </c>
      <c r="AQ114">
        <v>13.49</v>
      </c>
      <c r="AR114">
        <v>16.68</v>
      </c>
      <c r="AS114">
        <v>0.05</v>
      </c>
      <c r="AT114">
        <v>0.07000000000000001</v>
      </c>
      <c r="AU114">
        <v>60</v>
      </c>
      <c r="AV114">
        <v>0.9101798152516818</v>
      </c>
      <c r="AW114">
        <v>4</v>
      </c>
      <c r="AX114">
        <v>5.5</v>
      </c>
      <c r="AY114">
        <v>598</v>
      </c>
      <c r="AZ114">
        <v>1000</v>
      </c>
      <c r="BA114">
        <v>15000</v>
      </c>
      <c r="BD114">
        <v>12.63</v>
      </c>
      <c r="BE114">
        <v>21.97</v>
      </c>
      <c r="BG114">
        <v>0</v>
      </c>
      <c r="BH114">
        <v>0.11</v>
      </c>
      <c r="BI114">
        <v>-33.37</v>
      </c>
      <c r="BJ114">
        <v>-44.83</v>
      </c>
      <c r="BK114">
        <v>40.69</v>
      </c>
      <c r="BM114">
        <v>0.02</v>
      </c>
      <c r="BN114" t="s">
        <v>296</v>
      </c>
      <c r="BO114" t="b">
        <v>0</v>
      </c>
      <c r="BP114" s="1">
        <f>IFERROR(RANK.EQ(AX114,AX$2:AX$213,0),"")</f>
        <v>0</v>
      </c>
      <c r="BQ114">
        <f>IFERROR(Y114/Z114,"")</f>
        <v>0</v>
      </c>
      <c r="BR114">
        <f>IFERROR(U114-V114,"")</f>
        <v>0</v>
      </c>
      <c r="BS114">
        <f>IFERROR(U114&gt;V114,"")</f>
        <v>0</v>
      </c>
      <c r="BT114">
        <f>IF(AND(ISNUMBER(D114),ISNUMBER(H114),D114&gt;=H114), OR(O114=TRUE,P114=TRUE), FALSE)</f>
        <v>0</v>
      </c>
      <c r="BU114">
        <f>AND(ISNUMBER(R114), R114&gt;=45, R114&lt;=60, W114=TRUE, E114&gt;=-20)</f>
        <v>0</v>
      </c>
      <c r="BV114">
        <f>OR(AI114=TRUE,AA114=TRUE)</f>
        <v>0</v>
      </c>
      <c r="BW114">
        <f>IFERROR( (AR114-D114) / MAX(D114-AQ114,1E-9) ,"")</f>
        <v>0</v>
      </c>
      <c r="BX114">
        <f>IFERROR(BW114&gt;=2, FALSE)</f>
        <v>0</v>
      </c>
      <c r="BY114" s="1">
        <f>IFERROR(ROUNDDOWN(MIN(IF(BA114&gt;0, BA114/D114, 1E99),IF(AZ114&gt;0, AZ114/MAX(D114-AQ114,1E-9), 1E99)),0),"")</f>
        <v>0</v>
      </c>
      <c r="BZ114" s="2">
        <f>IF(AND(ISNUMBER(D114),ISNUMBER(AT114)), D114*(1-AT114), "")</f>
        <v>0</v>
      </c>
      <c r="CA114">
        <f>AND(BT114=TRUE,BU114=TRUE,BV114=TRUE,BX114=TRUE)</f>
        <v>0</v>
      </c>
    </row>
    <row r="115" spans="1:79" x14ac:dyDescent="0.25">
      <c r="A115" t="s">
        <v>180</v>
      </c>
      <c r="B115">
        <f>HYPERLINK("data/charts/PRU.png", "Open")</f>
        <v>0</v>
      </c>
      <c r="C115" t="s">
        <v>279</v>
      </c>
      <c r="D115">
        <v>105.92</v>
      </c>
      <c r="E115">
        <v>-18.87</v>
      </c>
      <c r="F115">
        <v>17.19</v>
      </c>
      <c r="G115">
        <v>-4.86</v>
      </c>
      <c r="H115">
        <v>111.34</v>
      </c>
      <c r="I115">
        <v>-0.0672</v>
      </c>
      <c r="J115" t="b">
        <v>0</v>
      </c>
      <c r="K115">
        <v>104.85</v>
      </c>
      <c r="L115">
        <v>103.79</v>
      </c>
      <c r="M115">
        <v>104.36</v>
      </c>
      <c r="N115">
        <v>104.6</v>
      </c>
      <c r="O115" t="b">
        <v>1</v>
      </c>
      <c r="P115" t="b">
        <v>1</v>
      </c>
      <c r="Q115" t="b">
        <v>1</v>
      </c>
      <c r="R115">
        <v>54.46</v>
      </c>
      <c r="S115" t="b">
        <v>0</v>
      </c>
      <c r="T115" t="b">
        <v>0</v>
      </c>
      <c r="U115">
        <v>0.2522</v>
      </c>
      <c r="V115">
        <v>-0.2669</v>
      </c>
      <c r="W115" t="b">
        <v>1</v>
      </c>
      <c r="X115" t="b">
        <v>1</v>
      </c>
      <c r="Y115">
        <v>1188000</v>
      </c>
      <c r="Z115">
        <v>1796030</v>
      </c>
      <c r="AA115" t="b">
        <v>0</v>
      </c>
      <c r="AB115">
        <v>103.79</v>
      </c>
      <c r="AC115">
        <v>107.36</v>
      </c>
      <c r="AD115">
        <v>100.23</v>
      </c>
      <c r="AE115">
        <v>0.798</v>
      </c>
      <c r="AF115">
        <v>0.06900000000000001</v>
      </c>
      <c r="AG115">
        <v>107.44</v>
      </c>
      <c r="AH115">
        <v>99.34</v>
      </c>
      <c r="AI115" t="b">
        <v>0</v>
      </c>
      <c r="AJ115">
        <v>2.194</v>
      </c>
      <c r="AK115">
        <v>102.63</v>
      </c>
      <c r="AL115">
        <v>100.54</v>
      </c>
      <c r="AM115">
        <v>100.23</v>
      </c>
      <c r="AN115">
        <v>94.27</v>
      </c>
      <c r="AO115">
        <v>102.63</v>
      </c>
      <c r="AP115" t="s">
        <v>280</v>
      </c>
      <c r="AQ115">
        <v>94.27</v>
      </c>
      <c r="AR115">
        <v>116.51</v>
      </c>
      <c r="AS115">
        <v>0.05</v>
      </c>
      <c r="AT115">
        <v>0.07000000000000001</v>
      </c>
      <c r="AU115">
        <v>60</v>
      </c>
      <c r="AV115">
        <v>0.9090131755800451</v>
      </c>
      <c r="AW115">
        <v>4</v>
      </c>
      <c r="AX115">
        <v>5.5</v>
      </c>
      <c r="AY115">
        <v>85</v>
      </c>
      <c r="AZ115">
        <v>1000</v>
      </c>
      <c r="BA115">
        <v>15000</v>
      </c>
      <c r="BD115">
        <v>23.33</v>
      </c>
      <c r="BE115">
        <v>7.21</v>
      </c>
      <c r="BF115">
        <v>5.1</v>
      </c>
      <c r="BG115">
        <v>1.17</v>
      </c>
      <c r="BH115">
        <v>0.66</v>
      </c>
      <c r="BI115">
        <v>1.73</v>
      </c>
      <c r="BJ115">
        <v>-24.49</v>
      </c>
      <c r="BK115">
        <v>3.87</v>
      </c>
      <c r="BM115">
        <v>-0.42</v>
      </c>
      <c r="BN115" t="s">
        <v>283</v>
      </c>
      <c r="BO115" t="b">
        <v>0</v>
      </c>
      <c r="BP115" s="1">
        <f>IFERROR(RANK.EQ(AX115,AX$2:AX$213,0),"")</f>
        <v>0</v>
      </c>
      <c r="BQ115">
        <f>IFERROR(Y115/Z115,"")</f>
        <v>0</v>
      </c>
      <c r="BR115">
        <f>IFERROR(U115-V115,"")</f>
        <v>0</v>
      </c>
      <c r="BS115">
        <f>IFERROR(U115&gt;V115,"")</f>
        <v>0</v>
      </c>
      <c r="BT115">
        <f>IF(AND(ISNUMBER(D115),ISNUMBER(H115),D115&gt;=H115), OR(O115=TRUE,P115=TRUE), FALSE)</f>
        <v>0</v>
      </c>
      <c r="BU115">
        <f>AND(ISNUMBER(R115), R115&gt;=45, R115&lt;=60, W115=TRUE, E115&gt;=-20)</f>
        <v>0</v>
      </c>
      <c r="BV115">
        <f>OR(AI115=TRUE,AA115=TRUE)</f>
        <v>0</v>
      </c>
      <c r="BW115">
        <f>IFERROR( (AR115-D115) / MAX(D115-AQ115,1E-9) ,"")</f>
        <v>0</v>
      </c>
      <c r="BX115">
        <f>IFERROR(BW115&gt;=2, FALSE)</f>
        <v>0</v>
      </c>
      <c r="BY115" s="1">
        <f>IFERROR(ROUNDDOWN(MIN(IF(BA115&gt;0, BA115/D115, 1E99),IF(AZ115&gt;0, AZ115/MAX(D115-AQ115,1E-9), 1E99)),0),"")</f>
        <v>0</v>
      </c>
      <c r="BZ115" s="2">
        <f>IF(AND(ISNUMBER(D115),ISNUMBER(AT115)), D115*(1-AT115), "")</f>
        <v>0</v>
      </c>
      <c r="CA115">
        <f>AND(BT115=TRUE,BU115=TRUE,BV115=TRUE,BX115=TRUE)</f>
        <v>0</v>
      </c>
    </row>
    <row r="116" spans="1:79" x14ac:dyDescent="0.25">
      <c r="A116" t="s">
        <v>181</v>
      </c>
      <c r="B116">
        <f>HYPERLINK("data/charts/F.png", "Open")</f>
        <v>0</v>
      </c>
      <c r="C116" t="s">
        <v>279</v>
      </c>
      <c r="D116">
        <v>11.44</v>
      </c>
      <c r="E116">
        <v>-4.43</v>
      </c>
      <c r="F116">
        <v>35.55</v>
      </c>
      <c r="G116">
        <v>10.57</v>
      </c>
      <c r="H116">
        <v>10.35</v>
      </c>
      <c r="I116">
        <v>0.0207</v>
      </c>
      <c r="J116" t="b">
        <v>1</v>
      </c>
      <c r="K116">
        <v>11.08</v>
      </c>
      <c r="L116">
        <v>11.21</v>
      </c>
      <c r="M116">
        <v>11.25</v>
      </c>
      <c r="N116">
        <v>11.06</v>
      </c>
      <c r="O116" t="b">
        <v>1</v>
      </c>
      <c r="P116" t="b">
        <v>1</v>
      </c>
      <c r="Q116" t="b">
        <v>1</v>
      </c>
      <c r="R116">
        <v>56.52</v>
      </c>
      <c r="S116" t="b">
        <v>0</v>
      </c>
      <c r="T116" t="b">
        <v>0</v>
      </c>
      <c r="U116">
        <v>0.0623</v>
      </c>
      <c r="V116">
        <v>0.0386</v>
      </c>
      <c r="W116" t="b">
        <v>1</v>
      </c>
      <c r="X116" t="b">
        <v>0</v>
      </c>
      <c r="Y116">
        <v>46098100</v>
      </c>
      <c r="Z116">
        <v>65499300</v>
      </c>
      <c r="AA116" t="b">
        <v>0</v>
      </c>
      <c r="AB116">
        <v>11.21</v>
      </c>
      <c r="AC116">
        <v>11.58</v>
      </c>
      <c r="AD116">
        <v>10.84</v>
      </c>
      <c r="AE116">
        <v>0.805</v>
      </c>
      <c r="AF116">
        <v>0.066</v>
      </c>
      <c r="AG116">
        <v>11.57</v>
      </c>
      <c r="AH116">
        <v>10.68</v>
      </c>
      <c r="AI116" t="b">
        <v>0</v>
      </c>
      <c r="AJ116">
        <v>0.256</v>
      </c>
      <c r="AK116">
        <v>11.06</v>
      </c>
      <c r="AL116">
        <v>11.06</v>
      </c>
      <c r="AM116">
        <v>10.84</v>
      </c>
      <c r="AN116">
        <v>10.18</v>
      </c>
      <c r="AO116">
        <v>11.06</v>
      </c>
      <c r="AP116" t="s">
        <v>282</v>
      </c>
      <c r="AQ116">
        <v>10.18</v>
      </c>
      <c r="AR116">
        <v>12.58</v>
      </c>
      <c r="AS116">
        <v>0.05</v>
      </c>
      <c r="AT116">
        <v>0.07000000000000001</v>
      </c>
      <c r="AU116">
        <v>60</v>
      </c>
      <c r="AV116">
        <v>0.9047625391033089</v>
      </c>
      <c r="AW116">
        <v>4</v>
      </c>
      <c r="AX116">
        <v>5.5</v>
      </c>
      <c r="AY116">
        <v>793</v>
      </c>
      <c r="AZ116">
        <v>1000</v>
      </c>
      <c r="BA116">
        <v>15000</v>
      </c>
      <c r="BD116">
        <v>14.67</v>
      </c>
      <c r="BE116">
        <v>6.54</v>
      </c>
      <c r="BF116">
        <v>5.24</v>
      </c>
      <c r="BG116">
        <v>0.96</v>
      </c>
      <c r="BH116">
        <v>3.55</v>
      </c>
      <c r="BI116">
        <v>23.43</v>
      </c>
      <c r="BJ116">
        <v>-107.64</v>
      </c>
      <c r="BK116">
        <v>-0.07000000000000001</v>
      </c>
      <c r="BM116">
        <v>-0.15</v>
      </c>
      <c r="BN116" t="s">
        <v>292</v>
      </c>
      <c r="BO116" t="b">
        <v>0</v>
      </c>
      <c r="BP116" s="1">
        <f>IFERROR(RANK.EQ(AX116,AX$2:AX$213,0),"")</f>
        <v>0</v>
      </c>
      <c r="BQ116">
        <f>IFERROR(Y116/Z116,"")</f>
        <v>0</v>
      </c>
      <c r="BR116">
        <f>IFERROR(U116-V116,"")</f>
        <v>0</v>
      </c>
      <c r="BS116">
        <f>IFERROR(U116&gt;V116,"")</f>
        <v>0</v>
      </c>
      <c r="BT116">
        <f>IF(AND(ISNUMBER(D116),ISNUMBER(H116),D116&gt;=H116), OR(O116=TRUE,P116=TRUE), FALSE)</f>
        <v>0</v>
      </c>
      <c r="BU116">
        <f>AND(ISNUMBER(R116), R116&gt;=45, R116&lt;=60, W116=TRUE, E116&gt;=-20)</f>
        <v>0</v>
      </c>
      <c r="BV116">
        <f>OR(AI116=TRUE,AA116=TRUE)</f>
        <v>0</v>
      </c>
      <c r="BW116">
        <f>IFERROR( (AR116-D116) / MAX(D116-AQ116,1E-9) ,"")</f>
        <v>0</v>
      </c>
      <c r="BX116">
        <f>IFERROR(BW116&gt;=2, FALSE)</f>
        <v>0</v>
      </c>
      <c r="BY116" s="1">
        <f>IFERROR(ROUNDDOWN(MIN(IF(BA116&gt;0, BA116/D116, 1E99),IF(AZ116&gt;0, AZ116/MAX(D116-AQ116,1E-9), 1E99)),0),"")</f>
        <v>0</v>
      </c>
      <c r="BZ116" s="2">
        <f>IF(AND(ISNUMBER(D116),ISNUMBER(AT116)), D116*(1-AT116), "")</f>
        <v>0</v>
      </c>
      <c r="CA116">
        <f>AND(BT116=TRUE,BU116=TRUE,BV116=TRUE,BX116=TRUE)</f>
        <v>0</v>
      </c>
    </row>
    <row r="117" spans="1:79" x14ac:dyDescent="0.25">
      <c r="A117" t="s">
        <v>182</v>
      </c>
      <c r="B117">
        <f>HYPERLINK("data/charts/CVE_TO.png", "Open")</f>
        <v>0</v>
      </c>
      <c r="C117" t="s">
        <v>279</v>
      </c>
      <c r="D117">
        <v>20.77</v>
      </c>
      <c r="E117">
        <v>-24.31</v>
      </c>
      <c r="F117">
        <v>43.44</v>
      </c>
      <c r="G117">
        <v>3.82</v>
      </c>
      <c r="H117">
        <v>20.01</v>
      </c>
      <c r="I117">
        <v>-0.0929</v>
      </c>
      <c r="J117" t="b">
        <v>0</v>
      </c>
      <c r="K117">
        <v>19.74</v>
      </c>
      <c r="L117">
        <v>20.3</v>
      </c>
      <c r="M117">
        <v>20.3</v>
      </c>
      <c r="N117">
        <v>19.79</v>
      </c>
      <c r="O117" t="b">
        <v>1</v>
      </c>
      <c r="P117" t="b">
        <v>1</v>
      </c>
      <c r="Q117" t="b">
        <v>1</v>
      </c>
      <c r="R117">
        <v>57.59</v>
      </c>
      <c r="S117" t="b">
        <v>0</v>
      </c>
      <c r="T117" t="b">
        <v>0</v>
      </c>
      <c r="U117">
        <v>0.3102</v>
      </c>
      <c r="V117">
        <v>0.3083</v>
      </c>
      <c r="W117" t="b">
        <v>1</v>
      </c>
      <c r="X117" t="b">
        <v>0</v>
      </c>
      <c r="Y117">
        <v>9381500</v>
      </c>
      <c r="Z117">
        <v>6944525</v>
      </c>
      <c r="AA117" t="b">
        <v>0</v>
      </c>
      <c r="AB117">
        <v>20.3</v>
      </c>
      <c r="AC117">
        <v>21.42</v>
      </c>
      <c r="AD117">
        <v>19.17</v>
      </c>
      <c r="AE117">
        <v>0.71</v>
      </c>
      <c r="AF117">
        <v>0.111</v>
      </c>
      <c r="AG117">
        <v>21.63</v>
      </c>
      <c r="AH117">
        <v>19.05</v>
      </c>
      <c r="AI117" t="b">
        <v>0</v>
      </c>
      <c r="AJ117">
        <v>0.587</v>
      </c>
      <c r="AK117">
        <v>19.89</v>
      </c>
      <c r="AL117">
        <v>19.97</v>
      </c>
      <c r="AM117">
        <v>19.17</v>
      </c>
      <c r="AN117">
        <v>18.49</v>
      </c>
      <c r="AO117">
        <v>19.97</v>
      </c>
      <c r="AP117" t="s">
        <v>282</v>
      </c>
      <c r="AQ117">
        <v>18.49</v>
      </c>
      <c r="AR117">
        <v>22.85</v>
      </c>
      <c r="AS117">
        <v>0.05</v>
      </c>
      <c r="AT117">
        <v>0.07000000000000001</v>
      </c>
      <c r="AU117">
        <v>60</v>
      </c>
      <c r="AV117">
        <v>0.9122803178190965</v>
      </c>
      <c r="AW117">
        <v>4</v>
      </c>
      <c r="AX117">
        <v>5.5</v>
      </c>
      <c r="AY117">
        <v>438</v>
      </c>
      <c r="AZ117">
        <v>1000</v>
      </c>
      <c r="BA117">
        <v>15000</v>
      </c>
      <c r="BD117">
        <v>14.42</v>
      </c>
      <c r="BE117">
        <v>10.6</v>
      </c>
      <c r="BF117">
        <v>3.85</v>
      </c>
      <c r="BG117">
        <v>0.51</v>
      </c>
      <c r="BH117">
        <v>0.36</v>
      </c>
      <c r="BI117">
        <v>-13.28</v>
      </c>
      <c r="BJ117">
        <v>-0.93</v>
      </c>
      <c r="BK117">
        <v>6.91</v>
      </c>
      <c r="BM117">
        <v>-0.97</v>
      </c>
      <c r="BN117" t="s">
        <v>288</v>
      </c>
      <c r="BO117" t="b">
        <v>0</v>
      </c>
      <c r="BP117" s="1">
        <f>IFERROR(RANK.EQ(AX117,AX$2:AX$213,0),"")</f>
        <v>0</v>
      </c>
      <c r="BQ117">
        <f>IFERROR(Y117/Z117,"")</f>
        <v>0</v>
      </c>
      <c r="BR117">
        <f>IFERROR(U117-V117,"")</f>
        <v>0</v>
      </c>
      <c r="BS117">
        <f>IFERROR(U117&gt;V117,"")</f>
        <v>0</v>
      </c>
      <c r="BT117">
        <f>IF(AND(ISNUMBER(D117),ISNUMBER(H117),D117&gt;=H117), OR(O117=TRUE,P117=TRUE), FALSE)</f>
        <v>0</v>
      </c>
      <c r="BU117">
        <f>AND(ISNUMBER(R117), R117&gt;=45, R117&lt;=60, W117=TRUE, E117&gt;=-20)</f>
        <v>0</v>
      </c>
      <c r="BV117">
        <f>OR(AI117=TRUE,AA117=TRUE)</f>
        <v>0</v>
      </c>
      <c r="BW117">
        <f>IFERROR( (AR117-D117) / MAX(D117-AQ117,1E-9) ,"")</f>
        <v>0</v>
      </c>
      <c r="BX117">
        <f>IFERROR(BW117&gt;=2, FALSE)</f>
        <v>0</v>
      </c>
      <c r="BY117" s="1">
        <f>IFERROR(ROUNDDOWN(MIN(IF(BA117&gt;0, BA117/D117, 1E99),IF(AZ117&gt;0, AZ117/MAX(D117-AQ117,1E-9), 1E99)),0),"")</f>
        <v>0</v>
      </c>
      <c r="BZ117" s="2">
        <f>IF(AND(ISNUMBER(D117),ISNUMBER(AT117)), D117*(1-AT117), "")</f>
        <v>0</v>
      </c>
      <c r="CA117">
        <f>AND(BT117=TRUE,BU117=TRUE,BV117=TRUE,BX117=TRUE)</f>
        <v>0</v>
      </c>
    </row>
    <row r="118" spans="1:79" x14ac:dyDescent="0.25">
      <c r="A118" t="s">
        <v>183</v>
      </c>
      <c r="B118">
        <f>HYPERLINK("data/charts/KEY_TO.png", "Open")</f>
        <v>0</v>
      </c>
      <c r="C118" t="s">
        <v>279</v>
      </c>
      <c r="D118">
        <v>44.07</v>
      </c>
      <c r="E118">
        <v>-8</v>
      </c>
      <c r="F118">
        <v>16.59</v>
      </c>
      <c r="G118">
        <v>2.21</v>
      </c>
      <c r="H118">
        <v>43.12</v>
      </c>
      <c r="I118">
        <v>0.0138</v>
      </c>
      <c r="J118" t="b">
        <v>1</v>
      </c>
      <c r="K118">
        <v>43.16</v>
      </c>
      <c r="L118">
        <v>43.37</v>
      </c>
      <c r="M118">
        <v>43.36</v>
      </c>
      <c r="N118">
        <v>43.18</v>
      </c>
      <c r="O118" t="b">
        <v>1</v>
      </c>
      <c r="P118" t="b">
        <v>1</v>
      </c>
      <c r="Q118" t="b">
        <v>1</v>
      </c>
      <c r="R118">
        <v>58.32</v>
      </c>
      <c r="S118" t="b">
        <v>0</v>
      </c>
      <c r="T118" t="b">
        <v>0</v>
      </c>
      <c r="U118">
        <v>0.115</v>
      </c>
      <c r="V118">
        <v>0.0622</v>
      </c>
      <c r="W118" t="b">
        <v>1</v>
      </c>
      <c r="X118" t="b">
        <v>0</v>
      </c>
      <c r="Y118">
        <v>1224200</v>
      </c>
      <c r="Z118">
        <v>869305</v>
      </c>
      <c r="AA118" t="b">
        <v>0</v>
      </c>
      <c r="AB118">
        <v>43.37</v>
      </c>
      <c r="AC118">
        <v>44.23</v>
      </c>
      <c r="AD118">
        <v>42.52</v>
      </c>
      <c r="AE118">
        <v>0.907</v>
      </c>
      <c r="AF118">
        <v>0.039</v>
      </c>
      <c r="AG118">
        <v>44.44</v>
      </c>
      <c r="AH118">
        <v>42.44</v>
      </c>
      <c r="AI118" t="b">
        <v>0</v>
      </c>
      <c r="AJ118">
        <v>0.669</v>
      </c>
      <c r="AK118">
        <v>43.07</v>
      </c>
      <c r="AL118">
        <v>42.44</v>
      </c>
      <c r="AM118">
        <v>42.52</v>
      </c>
      <c r="AN118">
        <v>39.22</v>
      </c>
      <c r="AO118">
        <v>43.07</v>
      </c>
      <c r="AP118" t="s">
        <v>280</v>
      </c>
      <c r="AQ118">
        <v>39.22</v>
      </c>
      <c r="AR118">
        <v>48.48</v>
      </c>
      <c r="AS118">
        <v>0.05</v>
      </c>
      <c r="AT118">
        <v>0.07000000000000001</v>
      </c>
      <c r="AU118">
        <v>60</v>
      </c>
      <c r="AV118">
        <v>0.9092784706526896</v>
      </c>
      <c r="AW118">
        <v>4</v>
      </c>
      <c r="AX118">
        <v>5.5</v>
      </c>
      <c r="AY118">
        <v>206</v>
      </c>
      <c r="AZ118">
        <v>1000</v>
      </c>
      <c r="BA118">
        <v>15000</v>
      </c>
      <c r="BD118">
        <v>19.08</v>
      </c>
      <c r="BE118">
        <v>19</v>
      </c>
      <c r="BF118">
        <v>4.9</v>
      </c>
      <c r="BG118">
        <v>0.9</v>
      </c>
      <c r="BH118">
        <v>1.36</v>
      </c>
      <c r="BI118">
        <v>-8.59</v>
      </c>
      <c r="BJ118">
        <v>-3.51</v>
      </c>
      <c r="BK118">
        <v>7.86</v>
      </c>
      <c r="BM118">
        <v>-1.73</v>
      </c>
      <c r="BN118" t="s">
        <v>288</v>
      </c>
      <c r="BO118" t="b">
        <v>0</v>
      </c>
      <c r="BP118" s="1">
        <f>IFERROR(RANK.EQ(AX118,AX$2:AX$213,0),"")</f>
        <v>0</v>
      </c>
      <c r="BQ118">
        <f>IFERROR(Y118/Z118,"")</f>
        <v>0</v>
      </c>
      <c r="BR118">
        <f>IFERROR(U118-V118,"")</f>
        <v>0</v>
      </c>
      <c r="BS118">
        <f>IFERROR(U118&gt;V118,"")</f>
        <v>0</v>
      </c>
      <c r="BT118">
        <f>IF(AND(ISNUMBER(D118),ISNUMBER(H118),D118&gt;=H118), OR(O118=TRUE,P118=TRUE), FALSE)</f>
        <v>0</v>
      </c>
      <c r="BU118">
        <f>AND(ISNUMBER(R118), R118&gt;=45, R118&lt;=60, W118=TRUE, E118&gt;=-20)</f>
        <v>0</v>
      </c>
      <c r="BV118">
        <f>OR(AI118=TRUE,AA118=TRUE)</f>
        <v>0</v>
      </c>
      <c r="BW118">
        <f>IFERROR( (AR118-D118) / MAX(D118-AQ118,1E-9) ,"")</f>
        <v>0</v>
      </c>
      <c r="BX118">
        <f>IFERROR(BW118&gt;=2, FALSE)</f>
        <v>0</v>
      </c>
      <c r="BY118" s="1">
        <f>IFERROR(ROUNDDOWN(MIN(IF(BA118&gt;0, BA118/D118, 1E99),IF(AZ118&gt;0, AZ118/MAX(D118-AQ118,1E-9), 1E99)),0),"")</f>
        <v>0</v>
      </c>
      <c r="BZ118" s="2">
        <f>IF(AND(ISNUMBER(D118),ISNUMBER(AT118)), D118*(1-AT118), "")</f>
        <v>0</v>
      </c>
      <c r="CA118">
        <f>AND(BT118=TRUE,BU118=TRUE,BV118=TRUE,BX118=TRUE)</f>
        <v>0</v>
      </c>
    </row>
    <row r="119" spans="1:79" x14ac:dyDescent="0.25">
      <c r="A119" t="s">
        <v>184</v>
      </c>
      <c r="B119">
        <f>HYPERLINK("data/charts/PCG.png", "Open")</f>
        <v>0</v>
      </c>
      <c r="C119" t="s">
        <v>279</v>
      </c>
      <c r="D119">
        <v>15.02</v>
      </c>
      <c r="E119">
        <v>-30.85</v>
      </c>
      <c r="F119">
        <v>15.81</v>
      </c>
      <c r="G119">
        <v>-11.4</v>
      </c>
      <c r="H119">
        <v>16.95</v>
      </c>
      <c r="I119">
        <v>-0.1737</v>
      </c>
      <c r="J119" t="b">
        <v>0</v>
      </c>
      <c r="K119">
        <v>14.17</v>
      </c>
      <c r="L119">
        <v>14.52</v>
      </c>
      <c r="M119">
        <v>14.67</v>
      </c>
      <c r="N119">
        <v>14.7</v>
      </c>
      <c r="O119" t="b">
        <v>1</v>
      </c>
      <c r="P119" t="b">
        <v>1</v>
      </c>
      <c r="Q119" t="b">
        <v>1</v>
      </c>
      <c r="R119">
        <v>59.34</v>
      </c>
      <c r="S119" t="b">
        <v>0</v>
      </c>
      <c r="T119" t="b">
        <v>0</v>
      </c>
      <c r="U119">
        <v>0.3247</v>
      </c>
      <c r="V119">
        <v>0.2298</v>
      </c>
      <c r="W119" t="b">
        <v>0</v>
      </c>
      <c r="X119" t="b">
        <v>1</v>
      </c>
      <c r="Y119">
        <v>29243300</v>
      </c>
      <c r="Z119">
        <v>26511555</v>
      </c>
      <c r="AA119" t="b">
        <v>0</v>
      </c>
      <c r="AB119">
        <v>14.52</v>
      </c>
      <c r="AC119">
        <v>15.84</v>
      </c>
      <c r="AD119">
        <v>13.2</v>
      </c>
      <c r="AE119">
        <v>0.6899999999999999</v>
      </c>
      <c r="AF119">
        <v>0.182</v>
      </c>
      <c r="AG119">
        <v>15.51</v>
      </c>
      <c r="AH119">
        <v>13.32</v>
      </c>
      <c r="AI119" t="b">
        <v>0</v>
      </c>
      <c r="AJ119">
        <v>0.409</v>
      </c>
      <c r="AK119">
        <v>14.41</v>
      </c>
      <c r="AL119">
        <v>14.77</v>
      </c>
      <c r="AM119">
        <v>13.2</v>
      </c>
      <c r="AN119">
        <v>13.37</v>
      </c>
      <c r="AO119">
        <v>14.77</v>
      </c>
      <c r="AP119" t="s">
        <v>282</v>
      </c>
      <c r="AQ119">
        <v>13.37</v>
      </c>
      <c r="AR119">
        <v>16.52</v>
      </c>
      <c r="AS119">
        <v>0.05</v>
      </c>
      <c r="AT119">
        <v>0.07000000000000001</v>
      </c>
      <c r="AU119">
        <v>60</v>
      </c>
      <c r="AV119">
        <v>0.9090903794471374</v>
      </c>
      <c r="AW119">
        <v>4</v>
      </c>
      <c r="AX119">
        <v>5.5</v>
      </c>
      <c r="AY119">
        <v>606</v>
      </c>
      <c r="AZ119">
        <v>1000</v>
      </c>
      <c r="BA119">
        <v>15000</v>
      </c>
      <c r="BD119">
        <v>13.91</v>
      </c>
      <c r="BE119">
        <v>10.15</v>
      </c>
      <c r="BF119">
        <v>67</v>
      </c>
      <c r="BG119">
        <v>0.08</v>
      </c>
      <c r="BH119">
        <v>1.9</v>
      </c>
      <c r="BI119">
        <v>-1.42</v>
      </c>
      <c r="BJ119">
        <v>-13.41</v>
      </c>
      <c r="BK119">
        <v>9.31</v>
      </c>
      <c r="BM119">
        <v>69.54000000000001</v>
      </c>
      <c r="BN119" t="s">
        <v>288</v>
      </c>
      <c r="BO119" t="b">
        <v>0</v>
      </c>
      <c r="BP119" s="1">
        <f>IFERROR(RANK.EQ(AX119,AX$2:AX$213,0),"")</f>
        <v>0</v>
      </c>
      <c r="BQ119">
        <f>IFERROR(Y119/Z119,"")</f>
        <v>0</v>
      </c>
      <c r="BR119">
        <f>IFERROR(U119-V119,"")</f>
        <v>0</v>
      </c>
      <c r="BS119">
        <f>IFERROR(U119&gt;V119,"")</f>
        <v>0</v>
      </c>
      <c r="BT119">
        <f>IF(AND(ISNUMBER(D119),ISNUMBER(H119),D119&gt;=H119), OR(O119=TRUE,P119=TRUE), FALSE)</f>
        <v>0</v>
      </c>
      <c r="BU119">
        <f>AND(ISNUMBER(R119), R119&gt;=45, R119&lt;=60, W119=TRUE, E119&gt;=-20)</f>
        <v>0</v>
      </c>
      <c r="BV119">
        <f>OR(AI119=TRUE,AA119=TRUE)</f>
        <v>0</v>
      </c>
      <c r="BW119">
        <f>IFERROR( (AR119-D119) / MAX(D119-AQ119,1E-9) ,"")</f>
        <v>0</v>
      </c>
      <c r="BX119">
        <f>IFERROR(BW119&gt;=2, FALSE)</f>
        <v>0</v>
      </c>
      <c r="BY119" s="1">
        <f>IFERROR(ROUNDDOWN(MIN(IF(BA119&gt;0, BA119/D119, 1E99),IF(AZ119&gt;0, AZ119/MAX(D119-AQ119,1E-9), 1E99)),0),"")</f>
        <v>0</v>
      </c>
      <c r="BZ119" s="2">
        <f>IF(AND(ISNUMBER(D119),ISNUMBER(AT119)), D119*(1-AT119), "")</f>
        <v>0</v>
      </c>
      <c r="CA119">
        <f>AND(BT119=TRUE,BU119=TRUE,BV119=TRUE,BX119=TRUE)</f>
        <v>0</v>
      </c>
    </row>
    <row r="120" spans="1:79" x14ac:dyDescent="0.25">
      <c r="A120" t="s">
        <v>185</v>
      </c>
      <c r="B120">
        <f>HYPERLINK("data/charts/NXPI.png", "Open")</f>
        <v>0</v>
      </c>
      <c r="C120" t="s">
        <v>279</v>
      </c>
      <c r="D120">
        <v>228.78</v>
      </c>
      <c r="E120">
        <v>-11.92</v>
      </c>
      <c r="F120">
        <v>54.49</v>
      </c>
      <c r="G120">
        <v>8.08</v>
      </c>
      <c r="H120">
        <v>211.67</v>
      </c>
      <c r="I120">
        <v>-0.0348</v>
      </c>
      <c r="J120" t="b">
        <v>0</v>
      </c>
      <c r="K120">
        <v>219.57</v>
      </c>
      <c r="L120">
        <v>219.2</v>
      </c>
      <c r="M120">
        <v>219.39</v>
      </c>
      <c r="N120">
        <v>216.72</v>
      </c>
      <c r="O120" t="b">
        <v>1</v>
      </c>
      <c r="P120" t="b">
        <v>1</v>
      </c>
      <c r="Q120" t="b">
        <v>1</v>
      </c>
      <c r="R120">
        <v>59.53</v>
      </c>
      <c r="S120" t="b">
        <v>0</v>
      </c>
      <c r="T120" t="b">
        <v>0</v>
      </c>
      <c r="U120">
        <v>0.8285</v>
      </c>
      <c r="V120">
        <v>-0.9235</v>
      </c>
      <c r="W120" t="b">
        <v>1</v>
      </c>
      <c r="X120" t="b">
        <v>1</v>
      </c>
      <c r="Y120">
        <v>3336700</v>
      </c>
      <c r="Z120">
        <v>3095790</v>
      </c>
      <c r="AA120" t="b">
        <v>0</v>
      </c>
      <c r="AB120">
        <v>219.2</v>
      </c>
      <c r="AC120">
        <v>237.81</v>
      </c>
      <c r="AD120">
        <v>200.6</v>
      </c>
      <c r="AE120">
        <v>0.757</v>
      </c>
      <c r="AF120">
        <v>0.17</v>
      </c>
      <c r="AG120">
        <v>233.52</v>
      </c>
      <c r="AH120">
        <v>203.24</v>
      </c>
      <c r="AI120" t="b">
        <v>0</v>
      </c>
      <c r="AJ120">
        <v>7.133</v>
      </c>
      <c r="AK120">
        <v>218.08</v>
      </c>
      <c r="AL120">
        <v>203.24</v>
      </c>
      <c r="AM120">
        <v>200.6</v>
      </c>
      <c r="AN120">
        <v>203.61</v>
      </c>
      <c r="AO120">
        <v>218.08</v>
      </c>
      <c r="AP120" t="s">
        <v>280</v>
      </c>
      <c r="AQ120">
        <v>203.61</v>
      </c>
      <c r="AR120">
        <v>251.66</v>
      </c>
      <c r="AS120">
        <v>0.05</v>
      </c>
      <c r="AT120">
        <v>0.07000000000000001</v>
      </c>
      <c r="AU120">
        <v>60</v>
      </c>
      <c r="AV120">
        <v>0.9090187656076751</v>
      </c>
      <c r="AW120">
        <v>4</v>
      </c>
      <c r="AX120">
        <v>5.5</v>
      </c>
      <c r="AY120">
        <v>39</v>
      </c>
      <c r="AZ120">
        <v>1000</v>
      </c>
      <c r="BA120">
        <v>15000</v>
      </c>
      <c r="BD120">
        <v>27.24</v>
      </c>
      <c r="BE120">
        <v>17.5</v>
      </c>
      <c r="BF120">
        <v>1.77</v>
      </c>
      <c r="BG120">
        <v>0.48</v>
      </c>
      <c r="BH120">
        <v>1.08</v>
      </c>
      <c r="BI120">
        <v>3.21</v>
      </c>
      <c r="BJ120">
        <v>-8.81</v>
      </c>
      <c r="BK120">
        <v>15.21</v>
      </c>
      <c r="BM120">
        <v>-0.84</v>
      </c>
      <c r="BN120" t="s">
        <v>316</v>
      </c>
      <c r="BO120" t="b">
        <v>0</v>
      </c>
      <c r="BP120" s="1">
        <f>IFERROR(RANK.EQ(AX120,AX$2:AX$213,0),"")</f>
        <v>0</v>
      </c>
      <c r="BQ120">
        <f>IFERROR(Y120/Z120,"")</f>
        <v>0</v>
      </c>
      <c r="BR120">
        <f>IFERROR(U120-V120,"")</f>
        <v>0</v>
      </c>
      <c r="BS120">
        <f>IFERROR(U120&gt;V120,"")</f>
        <v>0</v>
      </c>
      <c r="BT120">
        <f>IF(AND(ISNUMBER(D120),ISNUMBER(H120),D120&gt;=H120), OR(O120=TRUE,P120=TRUE), FALSE)</f>
        <v>0</v>
      </c>
      <c r="BU120">
        <f>AND(ISNUMBER(R120), R120&gt;=45, R120&lt;=60, W120=TRUE, E120&gt;=-20)</f>
        <v>0</v>
      </c>
      <c r="BV120">
        <f>OR(AI120=TRUE,AA120=TRUE)</f>
        <v>0</v>
      </c>
      <c r="BW120">
        <f>IFERROR( (AR120-D120) / MAX(D120-AQ120,1E-9) ,"")</f>
        <v>0</v>
      </c>
      <c r="BX120">
        <f>IFERROR(BW120&gt;=2, FALSE)</f>
        <v>0</v>
      </c>
      <c r="BY120" s="1">
        <f>IFERROR(ROUNDDOWN(MIN(IF(BA120&gt;0, BA120/D120, 1E99),IF(AZ120&gt;0, AZ120/MAX(D120-AQ120,1E-9), 1E99)),0),"")</f>
        <v>0</v>
      </c>
      <c r="BZ120" s="2">
        <f>IF(AND(ISNUMBER(D120),ISNUMBER(AT120)), D120*(1-AT120), "")</f>
        <v>0</v>
      </c>
      <c r="CA120">
        <f>AND(BT120=TRUE,BU120=TRUE,BV120=TRUE,BX120=TRUE)</f>
        <v>0</v>
      </c>
    </row>
    <row r="121" spans="1:79" x14ac:dyDescent="0.25">
      <c r="A121" t="s">
        <v>186</v>
      </c>
      <c r="B121">
        <f>HYPERLINK("data/charts/AMZN.png", "Open")</f>
        <v>0</v>
      </c>
      <c r="C121" t="s">
        <v>279</v>
      </c>
      <c r="D121">
        <v>231.03</v>
      </c>
      <c r="E121">
        <v>-4.74</v>
      </c>
      <c r="F121">
        <v>43.16</v>
      </c>
      <c r="G121">
        <v>9.34</v>
      </c>
      <c r="H121">
        <v>211.3</v>
      </c>
      <c r="I121">
        <v>0.0896</v>
      </c>
      <c r="J121" t="b">
        <v>1</v>
      </c>
      <c r="K121">
        <v>221.14</v>
      </c>
      <c r="L121">
        <v>225.72</v>
      </c>
      <c r="M121">
        <v>224.39</v>
      </c>
      <c r="N121">
        <v>219.97</v>
      </c>
      <c r="O121" t="b">
        <v>1</v>
      </c>
      <c r="P121" t="b">
        <v>1</v>
      </c>
      <c r="Q121" t="b">
        <v>1</v>
      </c>
      <c r="R121">
        <v>59.68</v>
      </c>
      <c r="S121" t="b">
        <v>0</v>
      </c>
      <c r="T121" t="b">
        <v>0</v>
      </c>
      <c r="U121">
        <v>1.3533</v>
      </c>
      <c r="V121">
        <v>1.0273</v>
      </c>
      <c r="W121" t="b">
        <v>1</v>
      </c>
      <c r="X121" t="b">
        <v>1</v>
      </c>
      <c r="Y121">
        <v>39605800</v>
      </c>
      <c r="Z121">
        <v>48080020</v>
      </c>
      <c r="AA121" t="b">
        <v>0</v>
      </c>
      <c r="AB121">
        <v>225.72</v>
      </c>
      <c r="AC121">
        <v>238.76</v>
      </c>
      <c r="AD121">
        <v>212.69</v>
      </c>
      <c r="AE121">
        <v>0.704</v>
      </c>
      <c r="AF121">
        <v>0.116</v>
      </c>
      <c r="AG121">
        <v>236.53</v>
      </c>
      <c r="AH121">
        <v>211.42</v>
      </c>
      <c r="AI121" t="b">
        <v>0</v>
      </c>
      <c r="AJ121">
        <v>4.696</v>
      </c>
      <c r="AK121">
        <v>223.99</v>
      </c>
      <c r="AL121">
        <v>219.05</v>
      </c>
      <c r="AM121">
        <v>212.69</v>
      </c>
      <c r="AN121">
        <v>205.62</v>
      </c>
      <c r="AO121">
        <v>223.99</v>
      </c>
      <c r="AP121" t="s">
        <v>280</v>
      </c>
      <c r="AQ121">
        <v>205.62</v>
      </c>
      <c r="AR121">
        <v>254.13</v>
      </c>
      <c r="AS121">
        <v>0.05</v>
      </c>
      <c r="AT121">
        <v>0.07000000000000001</v>
      </c>
      <c r="AU121">
        <v>60</v>
      </c>
      <c r="AV121">
        <v>0.9090910008041461</v>
      </c>
      <c r="AW121">
        <v>4</v>
      </c>
      <c r="AX121">
        <v>5.5</v>
      </c>
      <c r="AY121">
        <v>39</v>
      </c>
      <c r="AZ121">
        <v>1000</v>
      </c>
      <c r="BA121">
        <v>15000</v>
      </c>
      <c r="BD121">
        <v>35.22</v>
      </c>
      <c r="BE121">
        <v>37.57</v>
      </c>
      <c r="BG121">
        <v>0</v>
      </c>
      <c r="BH121">
        <v>0.4</v>
      </c>
      <c r="BI121">
        <v>7.73</v>
      </c>
      <c r="BJ121">
        <v>5.56</v>
      </c>
      <c r="BK121">
        <v>10.83</v>
      </c>
      <c r="BM121">
        <v>1.01</v>
      </c>
      <c r="BN121" t="s">
        <v>286</v>
      </c>
      <c r="BO121" t="b">
        <v>0</v>
      </c>
      <c r="BP121" s="1">
        <f>IFERROR(RANK.EQ(AX121,AX$2:AX$213,0),"")</f>
        <v>0</v>
      </c>
      <c r="BQ121">
        <f>IFERROR(Y121/Z121,"")</f>
        <v>0</v>
      </c>
      <c r="BR121">
        <f>IFERROR(U121-V121,"")</f>
        <v>0</v>
      </c>
      <c r="BS121">
        <f>IFERROR(U121&gt;V121,"")</f>
        <v>0</v>
      </c>
      <c r="BT121">
        <f>IF(AND(ISNUMBER(D121),ISNUMBER(H121),D121&gt;=H121), OR(O121=TRUE,P121=TRUE), FALSE)</f>
        <v>0</v>
      </c>
      <c r="BU121">
        <f>AND(ISNUMBER(R121), R121&gt;=45, R121&lt;=60, W121=TRUE, E121&gt;=-20)</f>
        <v>0</v>
      </c>
      <c r="BV121">
        <f>OR(AI121=TRUE,AA121=TRUE)</f>
        <v>0</v>
      </c>
      <c r="BW121">
        <f>IFERROR( (AR121-D121) / MAX(D121-AQ121,1E-9) ,"")</f>
        <v>0</v>
      </c>
      <c r="BX121">
        <f>IFERROR(BW121&gt;=2, FALSE)</f>
        <v>0</v>
      </c>
      <c r="BY121" s="1">
        <f>IFERROR(ROUNDDOWN(MIN(IF(BA121&gt;0, BA121/D121, 1E99),IF(AZ121&gt;0, AZ121/MAX(D121-AQ121,1E-9), 1E99)),0),"")</f>
        <v>0</v>
      </c>
      <c r="BZ121" s="2">
        <f>IF(AND(ISNUMBER(D121),ISNUMBER(AT121)), D121*(1-AT121), "")</f>
        <v>0</v>
      </c>
      <c r="CA121">
        <f>AND(BT121=TRUE,BU121=TRUE,BV121=TRUE,BX121=TRUE)</f>
        <v>0</v>
      </c>
    </row>
    <row r="122" spans="1:79" x14ac:dyDescent="0.25">
      <c r="A122" t="s">
        <v>187</v>
      </c>
      <c r="B122">
        <f>HYPERLINK("data/charts/GPN.png", "Open")</f>
        <v>0</v>
      </c>
      <c r="C122" t="s">
        <v>279</v>
      </c>
      <c r="D122">
        <v>86.79000000000001</v>
      </c>
      <c r="E122">
        <v>-27.67</v>
      </c>
      <c r="F122">
        <v>31.64</v>
      </c>
      <c r="G122">
        <v>-8.59</v>
      </c>
      <c r="H122">
        <v>94.95</v>
      </c>
      <c r="I122">
        <v>-0.1297</v>
      </c>
      <c r="J122" t="b">
        <v>0</v>
      </c>
      <c r="K122">
        <v>80.55</v>
      </c>
      <c r="L122">
        <v>82.73999999999999</v>
      </c>
      <c r="M122">
        <v>82.73999999999999</v>
      </c>
      <c r="N122">
        <v>81.77</v>
      </c>
      <c r="O122" t="b">
        <v>1</v>
      </c>
      <c r="P122" t="b">
        <v>1</v>
      </c>
      <c r="Q122" t="b">
        <v>1</v>
      </c>
      <c r="R122">
        <v>60.22</v>
      </c>
      <c r="S122" t="b">
        <v>0</v>
      </c>
      <c r="T122" t="b">
        <v>0</v>
      </c>
      <c r="U122">
        <v>1.2337</v>
      </c>
      <c r="V122">
        <v>0.7113</v>
      </c>
      <c r="W122" t="b">
        <v>1</v>
      </c>
      <c r="X122" t="b">
        <v>1</v>
      </c>
      <c r="Y122">
        <v>2167900</v>
      </c>
      <c r="Z122">
        <v>2652010</v>
      </c>
      <c r="AA122" t="b">
        <v>0</v>
      </c>
      <c r="AB122">
        <v>82.73999999999999</v>
      </c>
      <c r="AC122">
        <v>88.20999999999999</v>
      </c>
      <c r="AD122">
        <v>77.28</v>
      </c>
      <c r="AE122">
        <v>0.87</v>
      </c>
      <c r="AF122">
        <v>0.132</v>
      </c>
      <c r="AG122">
        <v>89.03</v>
      </c>
      <c r="AH122">
        <v>76.59999999999999</v>
      </c>
      <c r="AI122" t="b">
        <v>0</v>
      </c>
      <c r="AJ122">
        <v>2.819</v>
      </c>
      <c r="AK122">
        <v>82.56</v>
      </c>
      <c r="AL122">
        <v>80.59</v>
      </c>
      <c r="AM122">
        <v>77.28</v>
      </c>
      <c r="AN122">
        <v>77.23999999999999</v>
      </c>
      <c r="AO122">
        <v>82.56</v>
      </c>
      <c r="AP122" t="s">
        <v>280</v>
      </c>
      <c r="AQ122">
        <v>77.23999999999999</v>
      </c>
      <c r="AR122">
        <v>95.47</v>
      </c>
      <c r="AS122">
        <v>0.05</v>
      </c>
      <c r="AT122">
        <v>0.07000000000000001</v>
      </c>
      <c r="AU122">
        <v>60</v>
      </c>
      <c r="AV122">
        <v>0.9089003405601608</v>
      </c>
      <c r="AW122">
        <v>4</v>
      </c>
      <c r="AX122">
        <v>5.5</v>
      </c>
      <c r="AY122">
        <v>104</v>
      </c>
      <c r="AZ122">
        <v>1000</v>
      </c>
      <c r="BA122">
        <v>15000</v>
      </c>
      <c r="BD122">
        <v>14.79</v>
      </c>
      <c r="BE122">
        <v>6.78</v>
      </c>
      <c r="BF122">
        <v>1.15</v>
      </c>
      <c r="BG122">
        <v>0.17</v>
      </c>
      <c r="BH122">
        <v>0.71</v>
      </c>
      <c r="BI122">
        <v>-18.88</v>
      </c>
      <c r="BJ122">
        <v>-20.16</v>
      </c>
      <c r="BK122">
        <v>12.35</v>
      </c>
      <c r="BM122">
        <v>-0.42</v>
      </c>
      <c r="BN122" t="s">
        <v>296</v>
      </c>
      <c r="BO122" t="b">
        <v>0</v>
      </c>
      <c r="BP122" s="1">
        <f>IFERROR(RANK.EQ(AX122,AX$2:AX$213,0),"")</f>
        <v>0</v>
      </c>
      <c r="BQ122">
        <f>IFERROR(Y122/Z122,"")</f>
        <v>0</v>
      </c>
      <c r="BR122">
        <f>IFERROR(U122-V122,"")</f>
        <v>0</v>
      </c>
      <c r="BS122">
        <f>IFERROR(U122&gt;V122,"")</f>
        <v>0</v>
      </c>
      <c r="BT122">
        <f>IF(AND(ISNUMBER(D122),ISNUMBER(H122),D122&gt;=H122), OR(O122=TRUE,P122=TRUE), FALSE)</f>
        <v>0</v>
      </c>
      <c r="BU122">
        <f>AND(ISNUMBER(R122), R122&gt;=45, R122&lt;=60, W122=TRUE, E122&gt;=-20)</f>
        <v>0</v>
      </c>
      <c r="BV122">
        <f>OR(AI122=TRUE,AA122=TRUE)</f>
        <v>0</v>
      </c>
      <c r="BW122">
        <f>IFERROR( (AR122-D122) / MAX(D122-AQ122,1E-9) ,"")</f>
        <v>0</v>
      </c>
      <c r="BX122">
        <f>IFERROR(BW122&gt;=2, FALSE)</f>
        <v>0</v>
      </c>
      <c r="BY122" s="1">
        <f>IFERROR(ROUNDDOWN(MIN(IF(BA122&gt;0, BA122/D122, 1E99),IF(AZ122&gt;0, AZ122/MAX(D122-AQ122,1E-9), 1E99)),0),"")</f>
        <v>0</v>
      </c>
      <c r="BZ122" s="2">
        <f>IF(AND(ISNUMBER(D122),ISNUMBER(AT122)), D122*(1-AT122), "")</f>
        <v>0</v>
      </c>
      <c r="CA122">
        <f>AND(BT122=TRUE,BU122=TRUE,BV122=TRUE,BX122=TRUE)</f>
        <v>0</v>
      </c>
    </row>
    <row r="123" spans="1:79" x14ac:dyDescent="0.25">
      <c r="A123" t="s">
        <v>188</v>
      </c>
      <c r="B123">
        <f>HYPERLINK("data/charts/GEN.png", "Open")</f>
        <v>0</v>
      </c>
      <c r="C123" t="s">
        <v>279</v>
      </c>
      <c r="D123">
        <v>31.47</v>
      </c>
      <c r="E123">
        <v>-2.33</v>
      </c>
      <c r="F123">
        <v>38.39</v>
      </c>
      <c r="G123">
        <v>11.37</v>
      </c>
      <c r="H123">
        <v>28.26</v>
      </c>
      <c r="I123">
        <v>0.0537</v>
      </c>
      <c r="J123" t="b">
        <v>1</v>
      </c>
      <c r="K123">
        <v>29.87</v>
      </c>
      <c r="L123">
        <v>30.21</v>
      </c>
      <c r="M123">
        <v>30.33</v>
      </c>
      <c r="N123">
        <v>29.7</v>
      </c>
      <c r="O123" t="b">
        <v>1</v>
      </c>
      <c r="P123" t="b">
        <v>1</v>
      </c>
      <c r="Q123" t="b">
        <v>1</v>
      </c>
      <c r="R123">
        <v>61.07</v>
      </c>
      <c r="S123" t="b">
        <v>0</v>
      </c>
      <c r="T123" t="b">
        <v>0</v>
      </c>
      <c r="U123">
        <v>0.4436</v>
      </c>
      <c r="V123">
        <v>0.2069</v>
      </c>
      <c r="W123" t="b">
        <v>1</v>
      </c>
      <c r="X123" t="b">
        <v>1</v>
      </c>
      <c r="Y123">
        <v>3274500</v>
      </c>
      <c r="Z123">
        <v>3830480</v>
      </c>
      <c r="AA123" t="b">
        <v>0</v>
      </c>
      <c r="AB123">
        <v>30.21</v>
      </c>
      <c r="AC123">
        <v>32.39</v>
      </c>
      <c r="AD123">
        <v>28.03</v>
      </c>
      <c r="AE123">
        <v>0.788</v>
      </c>
      <c r="AF123">
        <v>0.144</v>
      </c>
      <c r="AG123">
        <v>32.22</v>
      </c>
      <c r="AH123">
        <v>27.73</v>
      </c>
      <c r="AI123" t="b">
        <v>0</v>
      </c>
      <c r="AJ123">
        <v>0.806</v>
      </c>
      <c r="AK123">
        <v>30.26</v>
      </c>
      <c r="AL123">
        <v>27.73</v>
      </c>
      <c r="AM123">
        <v>28.03</v>
      </c>
      <c r="AN123">
        <v>28.01</v>
      </c>
      <c r="AO123">
        <v>30.26</v>
      </c>
      <c r="AP123" t="s">
        <v>280</v>
      </c>
      <c r="AQ123">
        <v>28.01</v>
      </c>
      <c r="AR123">
        <v>34.62</v>
      </c>
      <c r="AS123">
        <v>0.05</v>
      </c>
      <c r="AT123">
        <v>0.07000000000000001</v>
      </c>
      <c r="AU123">
        <v>60</v>
      </c>
      <c r="AV123">
        <v>0.9104050034020268</v>
      </c>
      <c r="AW123">
        <v>4</v>
      </c>
      <c r="AX123">
        <v>5.5</v>
      </c>
      <c r="AY123">
        <v>289</v>
      </c>
      <c r="AZ123">
        <v>1000</v>
      </c>
      <c r="BA123">
        <v>15000</v>
      </c>
      <c r="BD123">
        <v>32.78</v>
      </c>
      <c r="BE123">
        <v>12.84</v>
      </c>
      <c r="BF123">
        <v>1.59</v>
      </c>
      <c r="BG123">
        <v>0.52</v>
      </c>
      <c r="BH123">
        <v>3.75</v>
      </c>
      <c r="BI123">
        <v>24.46</v>
      </c>
      <c r="BJ123">
        <v>-4.35</v>
      </c>
      <c r="BK123">
        <v>10.74</v>
      </c>
      <c r="BM123">
        <v>-1.29</v>
      </c>
      <c r="BN123" t="s">
        <v>295</v>
      </c>
      <c r="BO123" t="b">
        <v>0</v>
      </c>
      <c r="BP123" s="1">
        <f>IFERROR(RANK.EQ(AX123,AX$2:AX$213,0),"")</f>
        <v>0</v>
      </c>
      <c r="BQ123">
        <f>IFERROR(Y123/Z123,"")</f>
        <v>0</v>
      </c>
      <c r="BR123">
        <f>IFERROR(U123-V123,"")</f>
        <v>0</v>
      </c>
      <c r="BS123">
        <f>IFERROR(U123&gt;V123,"")</f>
        <v>0</v>
      </c>
      <c r="BT123">
        <f>IF(AND(ISNUMBER(D123),ISNUMBER(H123),D123&gt;=H123), OR(O123=TRUE,P123=TRUE), FALSE)</f>
        <v>0</v>
      </c>
      <c r="BU123">
        <f>AND(ISNUMBER(R123), R123&gt;=45, R123&lt;=60, W123=TRUE, E123&gt;=-20)</f>
        <v>0</v>
      </c>
      <c r="BV123">
        <f>OR(AI123=TRUE,AA123=TRUE)</f>
        <v>0</v>
      </c>
      <c r="BW123">
        <f>IFERROR( (AR123-D123) / MAX(D123-AQ123,1E-9) ,"")</f>
        <v>0</v>
      </c>
      <c r="BX123">
        <f>IFERROR(BW123&gt;=2, FALSE)</f>
        <v>0</v>
      </c>
      <c r="BY123" s="1">
        <f>IFERROR(ROUNDDOWN(MIN(IF(BA123&gt;0, BA123/D123, 1E99),IF(AZ123&gt;0, AZ123/MAX(D123-AQ123,1E-9), 1E99)),0),"")</f>
        <v>0</v>
      </c>
      <c r="BZ123" s="2">
        <f>IF(AND(ISNUMBER(D123),ISNUMBER(AT123)), D123*(1-AT123), "")</f>
        <v>0</v>
      </c>
      <c r="CA123">
        <f>AND(BT123=TRUE,BU123=TRUE,BV123=TRUE,BX123=TRUE)</f>
        <v>0</v>
      </c>
    </row>
    <row r="124" spans="1:79" x14ac:dyDescent="0.25">
      <c r="A124" t="s">
        <v>189</v>
      </c>
      <c r="B124">
        <f>HYPERLINK("data/charts/CVX.png", "Open")</f>
        <v>0</v>
      </c>
      <c r="C124" t="s">
        <v>279</v>
      </c>
      <c r="D124">
        <v>156.55</v>
      </c>
      <c r="E124">
        <v>-7.34</v>
      </c>
      <c r="F124">
        <v>18.56</v>
      </c>
      <c r="G124">
        <v>4.01</v>
      </c>
      <c r="H124">
        <v>150.52</v>
      </c>
      <c r="I124">
        <v>0.0145</v>
      </c>
      <c r="J124" t="b">
        <v>1</v>
      </c>
      <c r="K124">
        <v>149.74</v>
      </c>
      <c r="L124">
        <v>153.7</v>
      </c>
      <c r="M124">
        <v>153.36</v>
      </c>
      <c r="N124">
        <v>150.48</v>
      </c>
      <c r="O124" t="b">
        <v>1</v>
      </c>
      <c r="P124" t="b">
        <v>1</v>
      </c>
      <c r="Q124" t="b">
        <v>1</v>
      </c>
      <c r="R124">
        <v>61.26</v>
      </c>
      <c r="S124" t="b">
        <v>0</v>
      </c>
      <c r="T124" t="b">
        <v>0</v>
      </c>
      <c r="U124">
        <v>1.5683</v>
      </c>
      <c r="V124">
        <v>1.5463</v>
      </c>
      <c r="W124" t="b">
        <v>1</v>
      </c>
      <c r="X124" t="b">
        <v>1</v>
      </c>
      <c r="Y124">
        <v>11613900</v>
      </c>
      <c r="Z124">
        <v>10200195</v>
      </c>
      <c r="AA124" t="b">
        <v>0</v>
      </c>
      <c r="AB124">
        <v>153.7</v>
      </c>
      <c r="AC124">
        <v>157.91</v>
      </c>
      <c r="AD124">
        <v>149.48</v>
      </c>
      <c r="AE124">
        <v>0.838</v>
      </c>
      <c r="AF124">
        <v>0.055</v>
      </c>
      <c r="AG124">
        <v>158.54</v>
      </c>
      <c r="AH124">
        <v>148.48</v>
      </c>
      <c r="AI124" t="b">
        <v>0</v>
      </c>
      <c r="AJ124">
        <v>2.694</v>
      </c>
      <c r="AK124">
        <v>152.51</v>
      </c>
      <c r="AL124">
        <v>149.82</v>
      </c>
      <c r="AM124">
        <v>149.48</v>
      </c>
      <c r="AN124">
        <v>139.33</v>
      </c>
      <c r="AO124">
        <v>152.51</v>
      </c>
      <c r="AP124" t="s">
        <v>280</v>
      </c>
      <c r="AQ124">
        <v>139.33</v>
      </c>
      <c r="AR124">
        <v>172.21</v>
      </c>
      <c r="AS124">
        <v>0.05</v>
      </c>
      <c r="AT124">
        <v>0.07000000000000001</v>
      </c>
      <c r="AU124">
        <v>60</v>
      </c>
      <c r="AV124">
        <v>0.9094073271167997</v>
      </c>
      <c r="AW124">
        <v>4</v>
      </c>
      <c r="AX124">
        <v>5.5</v>
      </c>
      <c r="AY124">
        <v>58</v>
      </c>
      <c r="AZ124">
        <v>1000</v>
      </c>
      <c r="BA124">
        <v>15000</v>
      </c>
      <c r="BD124">
        <v>20.17</v>
      </c>
      <c r="BE124">
        <v>14.18</v>
      </c>
      <c r="BF124">
        <v>4.37</v>
      </c>
      <c r="BG124">
        <v>0.86</v>
      </c>
      <c r="BH124">
        <v>0.2</v>
      </c>
      <c r="BI124">
        <v>-3.74</v>
      </c>
      <c r="BJ124">
        <v>-27.86</v>
      </c>
      <c r="BK124">
        <v>5.61</v>
      </c>
      <c r="BM124">
        <v>-0.46</v>
      </c>
      <c r="BN124" t="s">
        <v>288</v>
      </c>
      <c r="BO124" t="b">
        <v>0</v>
      </c>
      <c r="BP124" s="1">
        <f>IFERROR(RANK.EQ(AX124,AX$2:AX$213,0),"")</f>
        <v>0</v>
      </c>
      <c r="BQ124">
        <f>IFERROR(Y124/Z124,"")</f>
        <v>0</v>
      </c>
      <c r="BR124">
        <f>IFERROR(U124-V124,"")</f>
        <v>0</v>
      </c>
      <c r="BS124">
        <f>IFERROR(U124&gt;V124,"")</f>
        <v>0</v>
      </c>
      <c r="BT124">
        <f>IF(AND(ISNUMBER(D124),ISNUMBER(H124),D124&gt;=H124), OR(O124=TRUE,P124=TRUE), FALSE)</f>
        <v>0</v>
      </c>
      <c r="BU124">
        <f>AND(ISNUMBER(R124), R124&gt;=45, R124&lt;=60, W124=TRUE, E124&gt;=-20)</f>
        <v>0</v>
      </c>
      <c r="BV124">
        <f>OR(AI124=TRUE,AA124=TRUE)</f>
        <v>0</v>
      </c>
      <c r="BW124">
        <f>IFERROR( (AR124-D124) / MAX(D124-AQ124,1E-9) ,"")</f>
        <v>0</v>
      </c>
      <c r="BX124">
        <f>IFERROR(BW124&gt;=2, FALSE)</f>
        <v>0</v>
      </c>
      <c r="BY124" s="1">
        <f>IFERROR(ROUNDDOWN(MIN(IF(BA124&gt;0, BA124/D124, 1E99),IF(AZ124&gt;0, AZ124/MAX(D124-AQ124,1E-9), 1E99)),0),"")</f>
        <v>0</v>
      </c>
      <c r="BZ124" s="2">
        <f>IF(AND(ISNUMBER(D124),ISNUMBER(AT124)), D124*(1-AT124), "")</f>
        <v>0</v>
      </c>
      <c r="CA124">
        <f>AND(BT124=TRUE,BU124=TRUE,BV124=TRUE,BX124=TRUE)</f>
        <v>0</v>
      </c>
    </row>
    <row r="125" spans="1:79" x14ac:dyDescent="0.25">
      <c r="A125" t="s">
        <v>190</v>
      </c>
      <c r="B125">
        <f>HYPERLINK("data/charts/OTEX_TO.png", "Open")</f>
        <v>0</v>
      </c>
      <c r="C125" t="s">
        <v>279</v>
      </c>
      <c r="D125">
        <v>43.8</v>
      </c>
      <c r="E125">
        <v>-7.83</v>
      </c>
      <c r="F125">
        <v>35.14</v>
      </c>
      <c r="G125">
        <v>10.89</v>
      </c>
      <c r="H125">
        <v>39.5</v>
      </c>
      <c r="I125">
        <v>-0.0594</v>
      </c>
      <c r="J125" t="b">
        <v>0</v>
      </c>
      <c r="K125">
        <v>39.94</v>
      </c>
      <c r="L125">
        <v>40.98</v>
      </c>
      <c r="M125">
        <v>41.06</v>
      </c>
      <c r="N125">
        <v>40.14</v>
      </c>
      <c r="O125" t="b">
        <v>1</v>
      </c>
      <c r="P125" t="b">
        <v>1</v>
      </c>
      <c r="Q125" t="b">
        <v>1</v>
      </c>
      <c r="R125">
        <v>63.03</v>
      </c>
      <c r="S125" t="b">
        <v>0</v>
      </c>
      <c r="T125" t="b">
        <v>0</v>
      </c>
      <c r="U125">
        <v>0.7431</v>
      </c>
      <c r="V125">
        <v>0.4608</v>
      </c>
      <c r="W125" t="b">
        <v>1</v>
      </c>
      <c r="X125" t="b">
        <v>1</v>
      </c>
      <c r="Y125">
        <v>1208900</v>
      </c>
      <c r="Z125">
        <v>939285</v>
      </c>
      <c r="AA125" t="b">
        <v>0</v>
      </c>
      <c r="AB125">
        <v>40.98</v>
      </c>
      <c r="AC125">
        <v>43.72</v>
      </c>
      <c r="AD125">
        <v>38.25</v>
      </c>
      <c r="AE125">
        <v>1.015</v>
      </c>
      <c r="AF125">
        <v>0.133</v>
      </c>
      <c r="AG125">
        <v>45.33</v>
      </c>
      <c r="AH125">
        <v>38.52</v>
      </c>
      <c r="AI125" t="b">
        <v>0</v>
      </c>
      <c r="AJ125">
        <v>1.403</v>
      </c>
      <c r="AK125">
        <v>41.7</v>
      </c>
      <c r="AL125">
        <v>39.96</v>
      </c>
      <c r="AM125">
        <v>38.25</v>
      </c>
      <c r="AN125">
        <v>38.98</v>
      </c>
      <c r="AO125">
        <v>41.7</v>
      </c>
      <c r="AP125" t="s">
        <v>280</v>
      </c>
      <c r="AQ125">
        <v>38.98</v>
      </c>
      <c r="AR125">
        <v>48.18</v>
      </c>
      <c r="AS125">
        <v>0.05</v>
      </c>
      <c r="AT125">
        <v>0.07000000000000001</v>
      </c>
      <c r="AU125">
        <v>60</v>
      </c>
      <c r="AV125">
        <v>0.9087139950691304</v>
      </c>
      <c r="AW125">
        <v>4</v>
      </c>
      <c r="AX125">
        <v>5.5</v>
      </c>
      <c r="AY125">
        <v>207</v>
      </c>
      <c r="AZ125">
        <v>1000</v>
      </c>
      <c r="BA125">
        <v>15000</v>
      </c>
      <c r="BD125">
        <v>19.3</v>
      </c>
      <c r="BE125">
        <v>9.800000000000001</v>
      </c>
      <c r="BF125">
        <v>3.45</v>
      </c>
      <c r="BG125">
        <v>0.64</v>
      </c>
      <c r="BH125">
        <v>1.69</v>
      </c>
      <c r="BI125">
        <v>4.48</v>
      </c>
      <c r="BJ125">
        <v>-68.56999999999999</v>
      </c>
      <c r="BK125">
        <v>2.2</v>
      </c>
      <c r="BM125">
        <v>-0.22</v>
      </c>
      <c r="BN125" t="s">
        <v>283</v>
      </c>
      <c r="BO125" t="b">
        <v>0</v>
      </c>
      <c r="BP125" s="1">
        <f>IFERROR(RANK.EQ(AX125,AX$2:AX$213,0),"")</f>
        <v>0</v>
      </c>
      <c r="BQ125">
        <f>IFERROR(Y125/Z125,"")</f>
        <v>0</v>
      </c>
      <c r="BR125">
        <f>IFERROR(U125-V125,"")</f>
        <v>0</v>
      </c>
      <c r="BS125">
        <f>IFERROR(U125&gt;V125,"")</f>
        <v>0</v>
      </c>
      <c r="BT125">
        <f>IF(AND(ISNUMBER(D125),ISNUMBER(H125),D125&gt;=H125), OR(O125=TRUE,P125=TRUE), FALSE)</f>
        <v>0</v>
      </c>
      <c r="BU125">
        <f>AND(ISNUMBER(R125), R125&gt;=45, R125&lt;=60, W125=TRUE, E125&gt;=-20)</f>
        <v>0</v>
      </c>
      <c r="BV125">
        <f>OR(AI125=TRUE,AA125=TRUE)</f>
        <v>0</v>
      </c>
      <c r="BW125">
        <f>IFERROR( (AR125-D125) / MAX(D125-AQ125,1E-9) ,"")</f>
        <v>0</v>
      </c>
      <c r="BX125">
        <f>IFERROR(BW125&gt;=2, FALSE)</f>
        <v>0</v>
      </c>
      <c r="BY125" s="1">
        <f>IFERROR(ROUNDDOWN(MIN(IF(BA125&gt;0, BA125/D125, 1E99),IF(AZ125&gt;0, AZ125/MAX(D125-AQ125,1E-9), 1E99)),0),"")</f>
        <v>0</v>
      </c>
      <c r="BZ125" s="2">
        <f>IF(AND(ISNUMBER(D125),ISNUMBER(AT125)), D125*(1-AT125), "")</f>
        <v>0</v>
      </c>
      <c r="CA125">
        <f>AND(BT125=TRUE,BU125=TRUE,BV125=TRUE,BX125=TRUE)</f>
        <v>0</v>
      </c>
    </row>
    <row r="126" spans="1:79" x14ac:dyDescent="0.25">
      <c r="A126" t="s">
        <v>191</v>
      </c>
      <c r="B126">
        <f>HYPERLINK("data/charts/MTD.png", "Open")</f>
        <v>0</v>
      </c>
      <c r="C126" t="s">
        <v>279</v>
      </c>
      <c r="D126">
        <v>1312.34</v>
      </c>
      <c r="E126">
        <v>-13.72</v>
      </c>
      <c r="F126">
        <v>38.62</v>
      </c>
      <c r="G126">
        <v>7.87</v>
      </c>
      <c r="H126">
        <v>1216.56</v>
      </c>
      <c r="I126">
        <v>-0.0876</v>
      </c>
      <c r="J126" t="b">
        <v>0</v>
      </c>
      <c r="K126">
        <v>1214.94</v>
      </c>
      <c r="L126">
        <v>1254.07</v>
      </c>
      <c r="M126">
        <v>1256.3</v>
      </c>
      <c r="N126">
        <v>1222.05</v>
      </c>
      <c r="O126" t="b">
        <v>1</v>
      </c>
      <c r="P126" t="b">
        <v>1</v>
      </c>
      <c r="Q126" t="b">
        <v>1</v>
      </c>
      <c r="R126">
        <v>64.09</v>
      </c>
      <c r="S126" t="b">
        <v>0</v>
      </c>
      <c r="T126" t="b">
        <v>0</v>
      </c>
      <c r="U126">
        <v>26.0518</v>
      </c>
      <c r="V126">
        <v>19.3061</v>
      </c>
      <c r="W126" t="b">
        <v>1</v>
      </c>
      <c r="X126" t="b">
        <v>1</v>
      </c>
      <c r="Y126">
        <v>135700</v>
      </c>
      <c r="Z126">
        <v>171445</v>
      </c>
      <c r="AA126" t="b">
        <v>0</v>
      </c>
      <c r="AB126">
        <v>1254.07</v>
      </c>
      <c r="AC126">
        <v>1329.33</v>
      </c>
      <c r="AD126">
        <v>1178.8</v>
      </c>
      <c r="AE126">
        <v>0.887</v>
      </c>
      <c r="AF126">
        <v>0.12</v>
      </c>
      <c r="AG126">
        <v>1324.52</v>
      </c>
      <c r="AH126">
        <v>1135.53</v>
      </c>
      <c r="AI126" t="b">
        <v>0</v>
      </c>
      <c r="AJ126">
        <v>36.166</v>
      </c>
      <c r="AK126">
        <v>1258.09</v>
      </c>
      <c r="AL126">
        <v>1135.53</v>
      </c>
      <c r="AM126">
        <v>1178.8</v>
      </c>
      <c r="AN126">
        <v>1167.98</v>
      </c>
      <c r="AO126">
        <v>1258.09</v>
      </c>
      <c r="AP126" t="s">
        <v>280</v>
      </c>
      <c r="AQ126">
        <v>1167.98</v>
      </c>
      <c r="AR126">
        <v>1443.57</v>
      </c>
      <c r="AS126">
        <v>0.05</v>
      </c>
      <c r="AT126">
        <v>0.07000000000000001</v>
      </c>
      <c r="AU126">
        <v>60</v>
      </c>
      <c r="AV126">
        <v>0.909047279375446</v>
      </c>
      <c r="AW126">
        <v>4</v>
      </c>
      <c r="AX126">
        <v>5.5</v>
      </c>
      <c r="AY126">
        <v>6</v>
      </c>
      <c r="AZ126">
        <v>1000</v>
      </c>
      <c r="BA126">
        <v>15000</v>
      </c>
      <c r="BD126">
        <v>33.22</v>
      </c>
      <c r="BE126">
        <v>30.81</v>
      </c>
      <c r="BG126">
        <v>0</v>
      </c>
      <c r="BH126">
        <v>-8.44</v>
      </c>
      <c r="BI126">
        <v>11.26</v>
      </c>
      <c r="BJ126">
        <v>23.69</v>
      </c>
      <c r="BK126">
        <v>20.58</v>
      </c>
      <c r="BM126">
        <v>-3.78</v>
      </c>
      <c r="BN126" t="s">
        <v>285</v>
      </c>
      <c r="BO126" t="b">
        <v>0</v>
      </c>
      <c r="BP126" s="1">
        <f>IFERROR(RANK.EQ(AX126,AX$2:AX$213,0),"")</f>
        <v>0</v>
      </c>
      <c r="BQ126">
        <f>IFERROR(Y126/Z126,"")</f>
        <v>0</v>
      </c>
      <c r="BR126">
        <f>IFERROR(U126-V126,"")</f>
        <v>0</v>
      </c>
      <c r="BS126">
        <f>IFERROR(U126&gt;V126,"")</f>
        <v>0</v>
      </c>
      <c r="BT126">
        <f>IF(AND(ISNUMBER(D126),ISNUMBER(H126),D126&gt;=H126), OR(O126=TRUE,P126=TRUE), FALSE)</f>
        <v>0</v>
      </c>
      <c r="BU126">
        <f>AND(ISNUMBER(R126), R126&gt;=45, R126&lt;=60, W126=TRUE, E126&gt;=-20)</f>
        <v>0</v>
      </c>
      <c r="BV126">
        <f>OR(AI126=TRUE,AA126=TRUE)</f>
        <v>0</v>
      </c>
      <c r="BW126">
        <f>IFERROR( (AR126-D126) / MAX(D126-AQ126,1E-9) ,"")</f>
        <v>0</v>
      </c>
      <c r="BX126">
        <f>IFERROR(BW126&gt;=2, FALSE)</f>
        <v>0</v>
      </c>
      <c r="BY126" s="1">
        <f>IFERROR(ROUNDDOWN(MIN(IF(BA126&gt;0, BA126/D126, 1E99),IF(AZ126&gt;0, AZ126/MAX(D126-AQ126,1E-9), 1E99)),0),"")</f>
        <v>0</v>
      </c>
      <c r="BZ126" s="2">
        <f>IF(AND(ISNUMBER(D126),ISNUMBER(AT126)), D126*(1-AT126), "")</f>
        <v>0</v>
      </c>
      <c r="CA126">
        <f>AND(BT126=TRUE,BU126=TRUE,BV126=TRUE,BX126=TRUE)</f>
        <v>0</v>
      </c>
    </row>
    <row r="127" spans="1:79" x14ac:dyDescent="0.25">
      <c r="A127" t="s">
        <v>192</v>
      </c>
      <c r="B127">
        <f>HYPERLINK("data/charts/APTV.png", "Open")</f>
        <v>0</v>
      </c>
      <c r="C127" t="s">
        <v>279</v>
      </c>
      <c r="D127">
        <v>74.18000000000001</v>
      </c>
      <c r="E127">
        <v>-1.63</v>
      </c>
      <c r="F127">
        <v>57.19</v>
      </c>
      <c r="G127">
        <v>18.44</v>
      </c>
      <c r="H127">
        <v>62.63</v>
      </c>
      <c r="I127">
        <v>-0.0074</v>
      </c>
      <c r="J127" t="b">
        <v>0</v>
      </c>
      <c r="K127">
        <v>69.09999999999999</v>
      </c>
      <c r="L127">
        <v>69.02</v>
      </c>
      <c r="M127">
        <v>69.59999999999999</v>
      </c>
      <c r="N127">
        <v>68.40000000000001</v>
      </c>
      <c r="O127" t="b">
        <v>1</v>
      </c>
      <c r="P127" t="b">
        <v>1</v>
      </c>
      <c r="Q127" t="b">
        <v>1</v>
      </c>
      <c r="R127">
        <v>64.64</v>
      </c>
      <c r="S127" t="b">
        <v>0</v>
      </c>
      <c r="T127" t="b">
        <v>0</v>
      </c>
      <c r="U127">
        <v>0.9253</v>
      </c>
      <c r="V127">
        <v>0.0359</v>
      </c>
      <c r="W127" t="b">
        <v>1</v>
      </c>
      <c r="X127" t="b">
        <v>1</v>
      </c>
      <c r="Y127">
        <v>1896300</v>
      </c>
      <c r="Z127">
        <v>2847070</v>
      </c>
      <c r="AA127" t="b">
        <v>0</v>
      </c>
      <c r="AB127">
        <v>69.02</v>
      </c>
      <c r="AC127">
        <v>75.31</v>
      </c>
      <c r="AD127">
        <v>62.74</v>
      </c>
      <c r="AE127">
        <v>0.91</v>
      </c>
      <c r="AF127">
        <v>0.182</v>
      </c>
      <c r="AG127">
        <v>74.84999999999999</v>
      </c>
      <c r="AH127">
        <v>63.5</v>
      </c>
      <c r="AI127" t="b">
        <v>0</v>
      </c>
      <c r="AJ127">
        <v>2.171</v>
      </c>
      <c r="AK127">
        <v>70.92</v>
      </c>
      <c r="AL127">
        <v>63.5</v>
      </c>
      <c r="AM127">
        <v>62.74</v>
      </c>
      <c r="AN127">
        <v>66.02</v>
      </c>
      <c r="AO127">
        <v>70.92</v>
      </c>
      <c r="AP127" t="s">
        <v>280</v>
      </c>
      <c r="AQ127">
        <v>66.02</v>
      </c>
      <c r="AR127">
        <v>81.59999999999999</v>
      </c>
      <c r="AS127">
        <v>0.05</v>
      </c>
      <c r="AT127">
        <v>0.07000000000000001</v>
      </c>
      <c r="AU127">
        <v>60</v>
      </c>
      <c r="AV127">
        <v>0.9093136540837873</v>
      </c>
      <c r="AW127">
        <v>4</v>
      </c>
      <c r="AX127">
        <v>5.5</v>
      </c>
      <c r="AY127">
        <v>122</v>
      </c>
      <c r="AZ127">
        <v>1000</v>
      </c>
      <c r="BA127">
        <v>15000</v>
      </c>
      <c r="BD127">
        <v>16.78</v>
      </c>
      <c r="BE127">
        <v>10.63</v>
      </c>
      <c r="BG127">
        <v>0</v>
      </c>
      <c r="BH127">
        <v>0.84</v>
      </c>
      <c r="BI127">
        <v>7.94</v>
      </c>
      <c r="BJ127">
        <v>-3700</v>
      </c>
      <c r="BK127">
        <v>7.55</v>
      </c>
      <c r="BM127">
        <v>-0.29</v>
      </c>
      <c r="BN127" t="s">
        <v>309</v>
      </c>
      <c r="BO127" t="b">
        <v>0</v>
      </c>
      <c r="BP127" s="1">
        <f>IFERROR(RANK.EQ(AX127,AX$2:AX$213,0),"")</f>
        <v>0</v>
      </c>
      <c r="BQ127">
        <f>IFERROR(Y127/Z127,"")</f>
        <v>0</v>
      </c>
      <c r="BR127">
        <f>IFERROR(U127-V127,"")</f>
        <v>0</v>
      </c>
      <c r="BS127">
        <f>IFERROR(U127&gt;V127,"")</f>
        <v>0</v>
      </c>
      <c r="BT127">
        <f>IF(AND(ISNUMBER(D127),ISNUMBER(H127),D127&gt;=H127), OR(O127=TRUE,P127=TRUE), FALSE)</f>
        <v>0</v>
      </c>
      <c r="BU127">
        <f>AND(ISNUMBER(R127), R127&gt;=45, R127&lt;=60, W127=TRUE, E127&gt;=-20)</f>
        <v>0</v>
      </c>
      <c r="BV127">
        <f>OR(AI127=TRUE,AA127=TRUE)</f>
        <v>0</v>
      </c>
      <c r="BW127">
        <f>IFERROR( (AR127-D127) / MAX(D127-AQ127,1E-9) ,"")</f>
        <v>0</v>
      </c>
      <c r="BX127">
        <f>IFERROR(BW127&gt;=2, FALSE)</f>
        <v>0</v>
      </c>
      <c r="BY127" s="1">
        <f>IFERROR(ROUNDDOWN(MIN(IF(BA127&gt;0, BA127/D127, 1E99),IF(AZ127&gt;0, AZ127/MAX(D127-AQ127,1E-9), 1E99)),0),"")</f>
        <v>0</v>
      </c>
      <c r="BZ127" s="2">
        <f>IF(AND(ISNUMBER(D127),ISNUMBER(AT127)), D127*(1-AT127), "")</f>
        <v>0</v>
      </c>
      <c r="CA127">
        <f>AND(BT127=TRUE,BU127=TRUE,BV127=TRUE,BX127=TRUE)</f>
        <v>0</v>
      </c>
    </row>
    <row r="128" spans="1:79" x14ac:dyDescent="0.25">
      <c r="A128" t="s">
        <v>193</v>
      </c>
      <c r="B128">
        <f>HYPERLINK("data/charts/MAG_TO.png", "Open")</f>
        <v>0</v>
      </c>
      <c r="C128" t="s">
        <v>279</v>
      </c>
      <c r="D128">
        <v>31.86</v>
      </c>
      <c r="E128">
        <v>-1.03</v>
      </c>
      <c r="F128">
        <v>100.5</v>
      </c>
      <c r="G128">
        <v>32.29</v>
      </c>
      <c r="H128">
        <v>24.08</v>
      </c>
      <c r="I128">
        <v>0.2051</v>
      </c>
      <c r="J128" t="b">
        <v>1</v>
      </c>
      <c r="K128">
        <v>29.61</v>
      </c>
      <c r="L128">
        <v>30.11</v>
      </c>
      <c r="M128">
        <v>30.43</v>
      </c>
      <c r="N128">
        <v>29.13</v>
      </c>
      <c r="O128" t="b">
        <v>1</v>
      </c>
      <c r="P128" t="b">
        <v>1</v>
      </c>
      <c r="Q128" t="b">
        <v>1</v>
      </c>
      <c r="R128">
        <v>65.54000000000001</v>
      </c>
      <c r="S128" t="b">
        <v>0</v>
      </c>
      <c r="T128" t="b">
        <v>0</v>
      </c>
      <c r="U128">
        <v>0.7544</v>
      </c>
      <c r="V128">
        <v>0.5462</v>
      </c>
      <c r="W128" t="b">
        <v>0</v>
      </c>
      <c r="X128" t="b">
        <v>0</v>
      </c>
      <c r="Y128">
        <v>313700</v>
      </c>
      <c r="Z128">
        <v>172805</v>
      </c>
      <c r="AA128" t="b">
        <v>1</v>
      </c>
      <c r="AB128">
        <v>30.11</v>
      </c>
      <c r="AC128">
        <v>32.7</v>
      </c>
      <c r="AD128">
        <v>27.51</v>
      </c>
      <c r="AE128">
        <v>0.838</v>
      </c>
      <c r="AF128">
        <v>0.172</v>
      </c>
      <c r="AG128">
        <v>32.19</v>
      </c>
      <c r="AH128">
        <v>27.92</v>
      </c>
      <c r="AI128" t="b">
        <v>0</v>
      </c>
      <c r="AJ128">
        <v>0.741</v>
      </c>
      <c r="AK128">
        <v>30.75</v>
      </c>
      <c r="AL128">
        <v>27.92</v>
      </c>
      <c r="AM128">
        <v>27.51</v>
      </c>
      <c r="AN128">
        <v>28.36</v>
      </c>
      <c r="AO128">
        <v>30.75</v>
      </c>
      <c r="AP128" t="s">
        <v>280</v>
      </c>
      <c r="AQ128">
        <v>28.36</v>
      </c>
      <c r="AR128">
        <v>35.05</v>
      </c>
      <c r="AS128">
        <v>0.05</v>
      </c>
      <c r="AT128">
        <v>0.07000000000000001</v>
      </c>
      <c r="AU128">
        <v>60</v>
      </c>
      <c r="AV128">
        <v>0.9114282381019385</v>
      </c>
      <c r="AW128">
        <v>4</v>
      </c>
      <c r="AX128">
        <v>5.5</v>
      </c>
      <c r="AY128">
        <v>285</v>
      </c>
      <c r="AZ128">
        <v>1000</v>
      </c>
      <c r="BA128">
        <v>15000</v>
      </c>
      <c r="BD128">
        <v>23.43</v>
      </c>
      <c r="BE128">
        <v>27.47</v>
      </c>
      <c r="BF128">
        <v>2.27</v>
      </c>
      <c r="BG128">
        <v>0.38</v>
      </c>
      <c r="BH128">
        <v>0</v>
      </c>
      <c r="BJ128">
        <v>14.29</v>
      </c>
      <c r="BM128">
        <v>0.43</v>
      </c>
      <c r="BN128" t="s">
        <v>317</v>
      </c>
      <c r="BO128" t="b">
        <v>0</v>
      </c>
      <c r="BP128" s="1">
        <f>IFERROR(RANK.EQ(AX128,AX$2:AX$213,0),"")</f>
        <v>0</v>
      </c>
      <c r="BQ128">
        <f>IFERROR(Y128/Z128,"")</f>
        <v>0</v>
      </c>
      <c r="BR128">
        <f>IFERROR(U128-V128,"")</f>
        <v>0</v>
      </c>
      <c r="BS128">
        <f>IFERROR(U128&gt;V128,"")</f>
        <v>0</v>
      </c>
      <c r="BT128">
        <f>IF(AND(ISNUMBER(D128),ISNUMBER(H128),D128&gt;=H128), OR(O128=TRUE,P128=TRUE), FALSE)</f>
        <v>0</v>
      </c>
      <c r="BU128">
        <f>AND(ISNUMBER(R128), R128&gt;=45, R128&lt;=60, W128=TRUE, E128&gt;=-20)</f>
        <v>0</v>
      </c>
      <c r="BV128">
        <f>OR(AI128=TRUE,AA128=TRUE)</f>
        <v>0</v>
      </c>
      <c r="BW128">
        <f>IFERROR( (AR128-D128) / MAX(D128-AQ128,1E-9) ,"")</f>
        <v>0</v>
      </c>
      <c r="BX128">
        <f>IFERROR(BW128&gt;=2, FALSE)</f>
        <v>0</v>
      </c>
      <c r="BY128" s="1">
        <f>IFERROR(ROUNDDOWN(MIN(IF(BA128&gt;0, BA128/D128, 1E99),IF(AZ128&gt;0, AZ128/MAX(D128-AQ128,1E-9), 1E99)),0),"")</f>
        <v>0</v>
      </c>
      <c r="BZ128" s="2">
        <f>IF(AND(ISNUMBER(D128),ISNUMBER(AT128)), D128*(1-AT128), "")</f>
        <v>0</v>
      </c>
      <c r="CA128">
        <f>AND(BT128=TRUE,BU128=TRUE,BV128=TRUE,BX128=TRUE)</f>
        <v>0</v>
      </c>
    </row>
    <row r="129" spans="1:79" x14ac:dyDescent="0.25">
      <c r="A129" t="s">
        <v>194</v>
      </c>
      <c r="B129">
        <f>HYPERLINK("data/charts/GM.png", "Open")</f>
        <v>0</v>
      </c>
      <c r="C129" t="s">
        <v>279</v>
      </c>
      <c r="D129">
        <v>56.31</v>
      </c>
      <c r="E129">
        <v>-8.050000000000001</v>
      </c>
      <c r="F129">
        <v>35.36</v>
      </c>
      <c r="G129">
        <v>11.74</v>
      </c>
      <c r="H129">
        <v>50.39</v>
      </c>
      <c r="I129">
        <v>0.0443</v>
      </c>
      <c r="J129" t="b">
        <v>1</v>
      </c>
      <c r="K129">
        <v>51.57</v>
      </c>
      <c r="L129">
        <v>53.26</v>
      </c>
      <c r="M129">
        <v>53.59</v>
      </c>
      <c r="N129">
        <v>52.02</v>
      </c>
      <c r="O129" t="b">
        <v>1</v>
      </c>
      <c r="P129" t="b">
        <v>1</v>
      </c>
      <c r="Q129" t="b">
        <v>1</v>
      </c>
      <c r="R129">
        <v>67.27</v>
      </c>
      <c r="S129" t="b">
        <v>0</v>
      </c>
      <c r="T129" t="b">
        <v>0</v>
      </c>
      <c r="U129">
        <v>1.0647</v>
      </c>
      <c r="V129">
        <v>0.768</v>
      </c>
      <c r="W129" t="b">
        <v>1</v>
      </c>
      <c r="X129" t="b">
        <v>1</v>
      </c>
      <c r="Y129">
        <v>5594400</v>
      </c>
      <c r="Z129">
        <v>9949790</v>
      </c>
      <c r="AA129" t="b">
        <v>0</v>
      </c>
      <c r="AB129">
        <v>53.26</v>
      </c>
      <c r="AC129">
        <v>56.45</v>
      </c>
      <c r="AD129">
        <v>50.08</v>
      </c>
      <c r="AE129">
        <v>0.978</v>
      </c>
      <c r="AF129">
        <v>0.12</v>
      </c>
      <c r="AG129">
        <v>56.99</v>
      </c>
      <c r="AH129">
        <v>48.87</v>
      </c>
      <c r="AI129" t="b">
        <v>0</v>
      </c>
      <c r="AJ129">
        <v>1.206</v>
      </c>
      <c r="AK129">
        <v>54.5</v>
      </c>
      <c r="AL129">
        <v>52.09</v>
      </c>
      <c r="AM129">
        <v>50.08</v>
      </c>
      <c r="AN129">
        <v>50.12</v>
      </c>
      <c r="AO129">
        <v>54.5</v>
      </c>
      <c r="AP129" t="s">
        <v>280</v>
      </c>
      <c r="AQ129">
        <v>50.12</v>
      </c>
      <c r="AR129">
        <v>61.94</v>
      </c>
      <c r="AS129">
        <v>0.05</v>
      </c>
      <c r="AT129">
        <v>0.07000000000000001</v>
      </c>
      <c r="AU129">
        <v>60</v>
      </c>
      <c r="AV129">
        <v>0.9095310787816028</v>
      </c>
      <c r="AW129">
        <v>4</v>
      </c>
      <c r="AX129">
        <v>5.5</v>
      </c>
      <c r="AY129">
        <v>161</v>
      </c>
      <c r="AZ129">
        <v>1000</v>
      </c>
      <c r="BA129">
        <v>15000</v>
      </c>
      <c r="BD129">
        <v>8.6</v>
      </c>
      <c r="BE129">
        <v>5.33</v>
      </c>
      <c r="BF129">
        <v>1.07</v>
      </c>
      <c r="BG129">
        <v>0.08</v>
      </c>
      <c r="BH129">
        <v>1.98</v>
      </c>
      <c r="BI129">
        <v>7.05</v>
      </c>
      <c r="BJ129">
        <v>-42.94</v>
      </c>
      <c r="BK129">
        <v>4.02</v>
      </c>
      <c r="BM129">
        <v>-0.24</v>
      </c>
      <c r="BN129" t="s">
        <v>309</v>
      </c>
      <c r="BO129" t="b">
        <v>0</v>
      </c>
      <c r="BP129" s="1">
        <f>IFERROR(RANK.EQ(AX129,AX$2:AX$213,0),"")</f>
        <v>0</v>
      </c>
      <c r="BQ129">
        <f>IFERROR(Y129/Z129,"")</f>
        <v>0</v>
      </c>
      <c r="BR129">
        <f>IFERROR(U129-V129,"")</f>
        <v>0</v>
      </c>
      <c r="BS129">
        <f>IFERROR(U129&gt;V129,"")</f>
        <v>0</v>
      </c>
      <c r="BT129">
        <f>IF(AND(ISNUMBER(D129),ISNUMBER(H129),D129&gt;=H129), OR(O129=TRUE,P129=TRUE), FALSE)</f>
        <v>0</v>
      </c>
      <c r="BU129">
        <f>AND(ISNUMBER(R129), R129&gt;=45, R129&lt;=60, W129=TRUE, E129&gt;=-20)</f>
        <v>0</v>
      </c>
      <c r="BV129">
        <f>OR(AI129=TRUE,AA129=TRUE)</f>
        <v>0</v>
      </c>
      <c r="BW129">
        <f>IFERROR( (AR129-D129) / MAX(D129-AQ129,1E-9) ,"")</f>
        <v>0</v>
      </c>
      <c r="BX129">
        <f>IFERROR(BW129&gt;=2, FALSE)</f>
        <v>0</v>
      </c>
      <c r="BY129" s="1">
        <f>IFERROR(ROUNDDOWN(MIN(IF(BA129&gt;0, BA129/D129, 1E99),IF(AZ129&gt;0, AZ129/MAX(D129-AQ129,1E-9), 1E99)),0),"")</f>
        <v>0</v>
      </c>
      <c r="BZ129" s="2">
        <f>IF(AND(ISNUMBER(D129),ISNUMBER(AT129)), D129*(1-AT129), "")</f>
        <v>0</v>
      </c>
      <c r="CA129">
        <f>AND(BT129=TRUE,BU129=TRUE,BV129=TRUE,BX129=TRUE)</f>
        <v>0</v>
      </c>
    </row>
    <row r="130" spans="1:79" x14ac:dyDescent="0.25">
      <c r="A130" t="s">
        <v>195</v>
      </c>
      <c r="B130">
        <f>HYPERLINK("data/charts/CVS.png", "Open")</f>
        <v>0</v>
      </c>
      <c r="C130" t="s">
        <v>279</v>
      </c>
      <c r="D130">
        <v>68.59999999999999</v>
      </c>
      <c r="E130">
        <v>-5.39</v>
      </c>
      <c r="F130">
        <v>57.48</v>
      </c>
      <c r="G130">
        <v>12.74</v>
      </c>
      <c r="H130">
        <v>60.85</v>
      </c>
      <c r="I130">
        <v>0.0372</v>
      </c>
      <c r="J130" t="b">
        <v>1</v>
      </c>
      <c r="K130">
        <v>64.8</v>
      </c>
      <c r="L130">
        <v>62.98</v>
      </c>
      <c r="M130">
        <v>64.38</v>
      </c>
      <c r="N130">
        <v>64.31</v>
      </c>
      <c r="O130" t="b">
        <v>1</v>
      </c>
      <c r="P130" t="b">
        <v>1</v>
      </c>
      <c r="Q130" t="b">
        <v>1</v>
      </c>
      <c r="R130">
        <v>67.67</v>
      </c>
      <c r="S130" t="b">
        <v>0</v>
      </c>
      <c r="T130" t="b">
        <v>0</v>
      </c>
      <c r="U130">
        <v>0.7495000000000001</v>
      </c>
      <c r="V130">
        <v>-0.021</v>
      </c>
      <c r="W130" t="b">
        <v>0</v>
      </c>
      <c r="X130" t="b">
        <v>1</v>
      </c>
      <c r="Y130">
        <v>8251900</v>
      </c>
      <c r="Z130">
        <v>9001560</v>
      </c>
      <c r="AA130" t="b">
        <v>0</v>
      </c>
      <c r="AB130">
        <v>62.98</v>
      </c>
      <c r="AC130">
        <v>67.98999999999999</v>
      </c>
      <c r="AD130">
        <v>57.98</v>
      </c>
      <c r="AE130">
        <v>1.061</v>
      </c>
      <c r="AF130">
        <v>0.159</v>
      </c>
      <c r="AG130">
        <v>69.13</v>
      </c>
      <c r="AH130">
        <v>58.5</v>
      </c>
      <c r="AI130" t="b">
        <v>1</v>
      </c>
      <c r="AJ130">
        <v>1.879</v>
      </c>
      <c r="AK130">
        <v>65.78</v>
      </c>
      <c r="AL130">
        <v>58.99</v>
      </c>
      <c r="AM130">
        <v>57.98</v>
      </c>
      <c r="AN130">
        <v>61.05</v>
      </c>
      <c r="AO130">
        <v>65.78</v>
      </c>
      <c r="AP130" t="s">
        <v>280</v>
      </c>
      <c r="AQ130">
        <v>61.05</v>
      </c>
      <c r="AR130">
        <v>75.45999999999999</v>
      </c>
      <c r="AS130">
        <v>0.05</v>
      </c>
      <c r="AT130">
        <v>0.07000000000000001</v>
      </c>
      <c r="AU130">
        <v>60</v>
      </c>
      <c r="AV130">
        <v>0.9086096572592328</v>
      </c>
      <c r="AW130">
        <v>4</v>
      </c>
      <c r="AX130">
        <v>5.5</v>
      </c>
      <c r="AY130">
        <v>132</v>
      </c>
      <c r="AZ130">
        <v>1000</v>
      </c>
      <c r="BA130">
        <v>15000</v>
      </c>
      <c r="BD130">
        <v>19.11</v>
      </c>
      <c r="BE130">
        <v>10.59</v>
      </c>
      <c r="BF130">
        <v>3.88</v>
      </c>
      <c r="BG130">
        <v>0.74</v>
      </c>
      <c r="BH130">
        <v>1.07</v>
      </c>
      <c r="BI130">
        <v>4.57</v>
      </c>
      <c r="BJ130">
        <v>-42.61</v>
      </c>
      <c r="BK130">
        <v>1.03</v>
      </c>
      <c r="BM130">
        <v>-0.45</v>
      </c>
      <c r="BN130" t="s">
        <v>283</v>
      </c>
      <c r="BO130" t="b">
        <v>0</v>
      </c>
      <c r="BP130" s="1">
        <f>IFERROR(RANK.EQ(AX130,AX$2:AX$213,0),"")</f>
        <v>0</v>
      </c>
      <c r="BQ130">
        <f>IFERROR(Y130/Z130,"")</f>
        <v>0</v>
      </c>
      <c r="BR130">
        <f>IFERROR(U130-V130,"")</f>
        <v>0</v>
      </c>
      <c r="BS130">
        <f>IFERROR(U130&gt;V130,"")</f>
        <v>0</v>
      </c>
      <c r="BT130">
        <f>IF(AND(ISNUMBER(D130),ISNUMBER(H130),D130&gt;=H130), OR(O130=TRUE,P130=TRUE), FALSE)</f>
        <v>0</v>
      </c>
      <c r="BU130">
        <f>AND(ISNUMBER(R130), R130&gt;=45, R130&lt;=60, W130=TRUE, E130&gt;=-20)</f>
        <v>0</v>
      </c>
      <c r="BV130">
        <f>OR(AI130=TRUE,AA130=TRUE)</f>
        <v>0</v>
      </c>
      <c r="BW130">
        <f>IFERROR( (AR130-D130) / MAX(D130-AQ130,1E-9) ,"")</f>
        <v>0</v>
      </c>
      <c r="BX130">
        <f>IFERROR(BW130&gt;=2, FALSE)</f>
        <v>0</v>
      </c>
      <c r="BY130" s="1">
        <f>IFERROR(ROUNDDOWN(MIN(IF(BA130&gt;0, BA130/D130, 1E99),IF(AZ130&gt;0, AZ130/MAX(D130-AQ130,1E-9), 1E99)),0),"")</f>
        <v>0</v>
      </c>
      <c r="BZ130" s="2">
        <f>IF(AND(ISNUMBER(D130),ISNUMBER(AT130)), D130*(1-AT130), "")</f>
        <v>0</v>
      </c>
      <c r="CA130">
        <f>AND(BT130=TRUE,BU130=TRUE,BV130=TRUE,BX130=TRUE)</f>
        <v>0</v>
      </c>
    </row>
    <row r="131" spans="1:79" x14ac:dyDescent="0.25">
      <c r="A131" t="s">
        <v>196</v>
      </c>
      <c r="B131">
        <f>HYPERLINK("data/charts/FAST.png", "Open")</f>
        <v>0</v>
      </c>
      <c r="C131" t="s">
        <v>279</v>
      </c>
      <c r="D131">
        <v>48.88</v>
      </c>
      <c r="E131">
        <v>-0.77</v>
      </c>
      <c r="F131">
        <v>52.54</v>
      </c>
      <c r="G131">
        <v>21.12</v>
      </c>
      <c r="H131">
        <v>40.36</v>
      </c>
      <c r="I131">
        <v>0.1132</v>
      </c>
      <c r="J131" t="b">
        <v>1</v>
      </c>
      <c r="K131">
        <v>44.54</v>
      </c>
      <c r="L131">
        <v>47.19</v>
      </c>
      <c r="M131">
        <v>46.98</v>
      </c>
      <c r="N131">
        <v>45.04</v>
      </c>
      <c r="O131" t="b">
        <v>1</v>
      </c>
      <c r="P131" t="b">
        <v>1</v>
      </c>
      <c r="Q131" t="b">
        <v>1</v>
      </c>
      <c r="R131">
        <v>69.62</v>
      </c>
      <c r="S131" t="b">
        <v>0</v>
      </c>
      <c r="T131" t="b">
        <v>0</v>
      </c>
      <c r="U131">
        <v>1.1687</v>
      </c>
      <c r="V131">
        <v>1.0624</v>
      </c>
      <c r="W131" t="b">
        <v>1</v>
      </c>
      <c r="X131" t="b">
        <v>1</v>
      </c>
      <c r="Y131">
        <v>5848200</v>
      </c>
      <c r="Z131">
        <v>5865610</v>
      </c>
      <c r="AA131" t="b">
        <v>0</v>
      </c>
      <c r="AB131">
        <v>47.19</v>
      </c>
      <c r="AC131">
        <v>49.47</v>
      </c>
      <c r="AD131">
        <v>44.9</v>
      </c>
      <c r="AE131">
        <v>0.871</v>
      </c>
      <c r="AF131">
        <v>0.097</v>
      </c>
      <c r="AG131">
        <v>49.26</v>
      </c>
      <c r="AH131">
        <v>44.87</v>
      </c>
      <c r="AI131" t="b">
        <v>0</v>
      </c>
      <c r="AJ131">
        <v>0.839</v>
      </c>
      <c r="AK131">
        <v>47.62</v>
      </c>
      <c r="AL131">
        <v>44.87</v>
      </c>
      <c r="AM131">
        <v>44.9</v>
      </c>
      <c r="AN131">
        <v>43.5</v>
      </c>
      <c r="AO131">
        <v>47.62</v>
      </c>
      <c r="AP131" t="s">
        <v>280</v>
      </c>
      <c r="AQ131">
        <v>43.5</v>
      </c>
      <c r="AR131">
        <v>53.77</v>
      </c>
      <c r="AS131">
        <v>0.05</v>
      </c>
      <c r="AT131">
        <v>0.07000000000000001</v>
      </c>
      <c r="AU131">
        <v>60</v>
      </c>
      <c r="AV131">
        <v>0.9089215540988494</v>
      </c>
      <c r="AW131">
        <v>4</v>
      </c>
      <c r="AX131">
        <v>5.5</v>
      </c>
      <c r="AY131">
        <v>185</v>
      </c>
      <c r="AZ131">
        <v>1000</v>
      </c>
      <c r="BA131">
        <v>15000</v>
      </c>
      <c r="BD131">
        <v>47</v>
      </c>
      <c r="BE131">
        <v>22.32</v>
      </c>
      <c r="BF131">
        <v>1.8</v>
      </c>
      <c r="BG131">
        <v>0.8</v>
      </c>
      <c r="BH131">
        <v>0.14</v>
      </c>
      <c r="BI131">
        <v>6.17</v>
      </c>
      <c r="BJ131">
        <v>11.54</v>
      </c>
      <c r="BK131">
        <v>15.88</v>
      </c>
      <c r="BM131">
        <v>3.67</v>
      </c>
      <c r="BN131" t="s">
        <v>285</v>
      </c>
      <c r="BO131" t="b">
        <v>0</v>
      </c>
      <c r="BP131" s="1">
        <f>IFERROR(RANK.EQ(AX131,AX$2:AX$213,0),"")</f>
        <v>0</v>
      </c>
      <c r="BQ131">
        <f>IFERROR(Y131/Z131,"")</f>
        <v>0</v>
      </c>
      <c r="BR131">
        <f>IFERROR(U131-V131,"")</f>
        <v>0</v>
      </c>
      <c r="BS131">
        <f>IFERROR(U131&gt;V131,"")</f>
        <v>0</v>
      </c>
      <c r="BT131">
        <f>IF(AND(ISNUMBER(D131),ISNUMBER(H131),D131&gt;=H131), OR(O131=TRUE,P131=TRUE), FALSE)</f>
        <v>0</v>
      </c>
      <c r="BU131">
        <f>AND(ISNUMBER(R131), R131&gt;=45, R131&lt;=60, W131=TRUE, E131&gt;=-20)</f>
        <v>0</v>
      </c>
      <c r="BV131">
        <f>OR(AI131=TRUE,AA131=TRUE)</f>
        <v>0</v>
      </c>
      <c r="BW131">
        <f>IFERROR( (AR131-D131) / MAX(D131-AQ131,1E-9) ,"")</f>
        <v>0</v>
      </c>
      <c r="BX131">
        <f>IFERROR(BW131&gt;=2, FALSE)</f>
        <v>0</v>
      </c>
      <c r="BY131" s="1">
        <f>IFERROR(ROUNDDOWN(MIN(IF(BA131&gt;0, BA131/D131, 1E99),IF(AZ131&gt;0, AZ131/MAX(D131-AQ131,1E-9), 1E99)),0),"")</f>
        <v>0</v>
      </c>
      <c r="BZ131" s="2">
        <f>IF(AND(ISNUMBER(D131),ISNUMBER(AT131)), D131*(1-AT131), "")</f>
        <v>0</v>
      </c>
      <c r="CA131">
        <f>AND(BT131=TRUE,BU131=TRUE,BV131=TRUE,BX131=TRUE)</f>
        <v>0</v>
      </c>
    </row>
    <row r="132" spans="1:79" x14ac:dyDescent="0.25">
      <c r="A132" t="s">
        <v>197</v>
      </c>
      <c r="B132">
        <f>HYPERLINK("data/charts/EFN_TO.png", "Open")</f>
        <v>0</v>
      </c>
      <c r="C132" t="s">
        <v>279</v>
      </c>
      <c r="D132">
        <v>37.29</v>
      </c>
      <c r="E132">
        <v>-1.06</v>
      </c>
      <c r="F132">
        <v>49.16</v>
      </c>
      <c r="G132">
        <v>21.25</v>
      </c>
      <c r="H132">
        <v>30.75</v>
      </c>
      <c r="I132">
        <v>0.1049</v>
      </c>
      <c r="J132" t="b">
        <v>1</v>
      </c>
      <c r="K132">
        <v>34.81</v>
      </c>
      <c r="L132">
        <v>36.43</v>
      </c>
      <c r="M132">
        <v>36.4</v>
      </c>
      <c r="N132">
        <v>35.06</v>
      </c>
      <c r="O132" t="b">
        <v>1</v>
      </c>
      <c r="P132" t="b">
        <v>1</v>
      </c>
      <c r="Q132" t="b">
        <v>1</v>
      </c>
      <c r="R132">
        <v>70.28</v>
      </c>
      <c r="S132" t="b">
        <v>0</v>
      </c>
      <c r="T132" t="b">
        <v>0</v>
      </c>
      <c r="U132">
        <v>0.7095</v>
      </c>
      <c r="V132">
        <v>0.6945</v>
      </c>
      <c r="W132" t="b">
        <v>1</v>
      </c>
      <c r="X132" t="b">
        <v>1</v>
      </c>
      <c r="Y132">
        <v>466900</v>
      </c>
      <c r="Z132">
        <v>580385</v>
      </c>
      <c r="AA132" t="b">
        <v>0</v>
      </c>
      <c r="AB132">
        <v>36.43</v>
      </c>
      <c r="AC132">
        <v>37.67</v>
      </c>
      <c r="AD132">
        <v>35.2</v>
      </c>
      <c r="AE132">
        <v>0.847</v>
      </c>
      <c r="AF132">
        <v>0.068</v>
      </c>
      <c r="AG132">
        <v>37.69</v>
      </c>
      <c r="AH132">
        <v>35.02</v>
      </c>
      <c r="AI132" t="b">
        <v>0</v>
      </c>
      <c r="AJ132">
        <v>0.601</v>
      </c>
      <c r="AK132">
        <v>36.39</v>
      </c>
      <c r="AL132">
        <v>35.42</v>
      </c>
      <c r="AM132">
        <v>35.2</v>
      </c>
      <c r="AN132">
        <v>33.19</v>
      </c>
      <c r="AO132">
        <v>36.39</v>
      </c>
      <c r="AP132" t="s">
        <v>280</v>
      </c>
      <c r="AQ132">
        <v>33.19</v>
      </c>
      <c r="AR132">
        <v>41.02</v>
      </c>
      <c r="AS132">
        <v>0.05</v>
      </c>
      <c r="AT132">
        <v>0.07000000000000001</v>
      </c>
      <c r="AU132">
        <v>60</v>
      </c>
      <c r="AV132">
        <v>0.9097556711137718</v>
      </c>
      <c r="AW132">
        <v>4</v>
      </c>
      <c r="AX132">
        <v>5.5</v>
      </c>
      <c r="AY132">
        <v>243</v>
      </c>
      <c r="AZ132">
        <v>1000</v>
      </c>
      <c r="BA132">
        <v>15000</v>
      </c>
      <c r="BD132">
        <v>28.04</v>
      </c>
      <c r="BE132">
        <v>21.43</v>
      </c>
      <c r="BF132">
        <v>1.39</v>
      </c>
      <c r="BG132">
        <v>0.37</v>
      </c>
      <c r="BH132">
        <v>3.32</v>
      </c>
      <c r="BI132">
        <v>0.3</v>
      </c>
      <c r="BJ132">
        <v>11.07</v>
      </c>
      <c r="BK132">
        <v>18.81</v>
      </c>
      <c r="BM132">
        <v>2.98</v>
      </c>
      <c r="BN132" t="s">
        <v>293</v>
      </c>
      <c r="BO132" t="b">
        <v>0</v>
      </c>
      <c r="BP132" s="1">
        <f>IFERROR(RANK.EQ(AX132,AX$2:AX$213,0),"")</f>
        <v>0</v>
      </c>
      <c r="BQ132">
        <f>IFERROR(Y132/Z132,"")</f>
        <v>0</v>
      </c>
      <c r="BR132">
        <f>IFERROR(U132-V132,"")</f>
        <v>0</v>
      </c>
      <c r="BS132">
        <f>IFERROR(U132&gt;V132,"")</f>
        <v>0</v>
      </c>
      <c r="BT132">
        <f>IF(AND(ISNUMBER(D132),ISNUMBER(H132),D132&gt;=H132), OR(O132=TRUE,P132=TRUE), FALSE)</f>
        <v>0</v>
      </c>
      <c r="BU132">
        <f>AND(ISNUMBER(R132), R132&gt;=45, R132&lt;=60, W132=TRUE, E132&gt;=-20)</f>
        <v>0</v>
      </c>
      <c r="BV132">
        <f>OR(AI132=TRUE,AA132=TRUE)</f>
        <v>0</v>
      </c>
      <c r="BW132">
        <f>IFERROR( (AR132-D132) / MAX(D132-AQ132,1E-9) ,"")</f>
        <v>0</v>
      </c>
      <c r="BX132">
        <f>IFERROR(BW132&gt;=2, FALSE)</f>
        <v>0</v>
      </c>
      <c r="BY132" s="1">
        <f>IFERROR(ROUNDDOWN(MIN(IF(BA132&gt;0, BA132/D132, 1E99),IF(AZ132&gt;0, AZ132/MAX(D132-AQ132,1E-9), 1E99)),0),"")</f>
        <v>0</v>
      </c>
      <c r="BZ132" s="2">
        <f>IF(AND(ISNUMBER(D132),ISNUMBER(AT132)), D132*(1-AT132), "")</f>
        <v>0</v>
      </c>
      <c r="CA132">
        <f>AND(BT132=TRUE,BU132=TRUE,BV132=TRUE,BX132=TRUE)</f>
        <v>0</v>
      </c>
    </row>
    <row r="133" spans="1:79" x14ac:dyDescent="0.25">
      <c r="A133" t="s">
        <v>198</v>
      </c>
      <c r="B133">
        <f>HYPERLINK("data/charts/LEN.png", "Open")</f>
        <v>0</v>
      </c>
      <c r="C133" t="s">
        <v>279</v>
      </c>
      <c r="D133">
        <v>131.95</v>
      </c>
      <c r="E133">
        <v>-29.67</v>
      </c>
      <c r="F133">
        <v>34.07</v>
      </c>
      <c r="G133">
        <v>5.1</v>
      </c>
      <c r="H133">
        <v>125.55</v>
      </c>
      <c r="I133">
        <v>-0.2562</v>
      </c>
      <c r="J133" t="b">
        <v>0</v>
      </c>
      <c r="K133">
        <v>114.01</v>
      </c>
      <c r="L133">
        <v>119.17</v>
      </c>
      <c r="M133">
        <v>120.41</v>
      </c>
      <c r="N133">
        <v>116.05</v>
      </c>
      <c r="O133" t="b">
        <v>1</v>
      </c>
      <c r="P133" t="b">
        <v>1</v>
      </c>
      <c r="Q133" t="b">
        <v>1</v>
      </c>
      <c r="R133">
        <v>74.18000000000001</v>
      </c>
      <c r="S133" t="b">
        <v>0</v>
      </c>
      <c r="T133" t="b">
        <v>0</v>
      </c>
      <c r="U133">
        <v>4.471</v>
      </c>
      <c r="V133">
        <v>2.9874</v>
      </c>
      <c r="W133" t="b">
        <v>0</v>
      </c>
      <c r="X133" t="b">
        <v>1</v>
      </c>
      <c r="Y133">
        <v>5172600</v>
      </c>
      <c r="Z133">
        <v>3051920</v>
      </c>
      <c r="AA133" t="b">
        <v>1</v>
      </c>
      <c r="AB133">
        <v>119.17</v>
      </c>
      <c r="AC133">
        <v>131.28</v>
      </c>
      <c r="AD133">
        <v>107.07</v>
      </c>
      <c r="AE133">
        <v>1.028</v>
      </c>
      <c r="AF133">
        <v>0.203</v>
      </c>
      <c r="AG133">
        <v>136.07</v>
      </c>
      <c r="AH133">
        <v>108.98</v>
      </c>
      <c r="AI133" t="b">
        <v>0</v>
      </c>
      <c r="AJ133">
        <v>3.728</v>
      </c>
      <c r="AK133">
        <v>126.36</v>
      </c>
      <c r="AL133">
        <v>118.26</v>
      </c>
      <c r="AM133">
        <v>107.07</v>
      </c>
      <c r="AN133">
        <v>117.44</v>
      </c>
      <c r="AO133">
        <v>126.36</v>
      </c>
      <c r="AP133" t="s">
        <v>280</v>
      </c>
      <c r="AQ133">
        <v>117.44</v>
      </c>
      <c r="AR133">
        <v>145.14</v>
      </c>
      <c r="AS133">
        <v>0.05</v>
      </c>
      <c r="AT133">
        <v>0.07000000000000001</v>
      </c>
      <c r="AU133">
        <v>60</v>
      </c>
      <c r="AV133">
        <v>0.9090286578837427</v>
      </c>
      <c r="AW133">
        <v>4</v>
      </c>
      <c r="AX133">
        <v>5.5</v>
      </c>
      <c r="AY133">
        <v>68</v>
      </c>
      <c r="AZ133">
        <v>1000</v>
      </c>
      <c r="BA133">
        <v>15000</v>
      </c>
      <c r="BD133">
        <v>10.93</v>
      </c>
      <c r="BE133">
        <v>8.18</v>
      </c>
      <c r="BF133">
        <v>1.52</v>
      </c>
      <c r="BG133">
        <v>0.17</v>
      </c>
      <c r="BH133">
        <v>0.19</v>
      </c>
      <c r="BI133">
        <v>9.77</v>
      </c>
      <c r="BJ133">
        <v>-7.65</v>
      </c>
      <c r="BK133">
        <v>5.7</v>
      </c>
      <c r="BM133">
        <v>-0.22</v>
      </c>
      <c r="BN133" t="s">
        <v>309</v>
      </c>
      <c r="BO133" t="b">
        <v>0</v>
      </c>
      <c r="BP133" s="1">
        <f>IFERROR(RANK.EQ(AX133,AX$2:AX$213,0),"")</f>
        <v>0</v>
      </c>
      <c r="BQ133">
        <f>IFERROR(Y133/Z133,"")</f>
        <v>0</v>
      </c>
      <c r="BR133">
        <f>IFERROR(U133-V133,"")</f>
        <v>0</v>
      </c>
      <c r="BS133">
        <f>IFERROR(U133&gt;V133,"")</f>
        <v>0</v>
      </c>
      <c r="BT133">
        <f>IF(AND(ISNUMBER(D133),ISNUMBER(H133),D133&gt;=H133), OR(O133=TRUE,P133=TRUE), FALSE)</f>
        <v>0</v>
      </c>
      <c r="BU133">
        <f>AND(ISNUMBER(R133), R133&gt;=45, R133&lt;=60, W133=TRUE, E133&gt;=-20)</f>
        <v>0</v>
      </c>
      <c r="BV133">
        <f>OR(AI133=TRUE,AA133=TRUE)</f>
        <v>0</v>
      </c>
      <c r="BW133">
        <f>IFERROR( (AR133-D133) / MAX(D133-AQ133,1E-9) ,"")</f>
        <v>0</v>
      </c>
      <c r="BX133">
        <f>IFERROR(BW133&gt;=2, FALSE)</f>
        <v>0</v>
      </c>
      <c r="BY133" s="1">
        <f>IFERROR(ROUNDDOWN(MIN(IF(BA133&gt;0, BA133/D133, 1E99),IF(AZ133&gt;0, AZ133/MAX(D133-AQ133,1E-9), 1E99)),0),"")</f>
        <v>0</v>
      </c>
      <c r="BZ133" s="2">
        <f>IF(AND(ISNUMBER(D133),ISNUMBER(AT133)), D133*(1-AT133), "")</f>
        <v>0</v>
      </c>
      <c r="CA133">
        <f>AND(BT133=TRUE,BU133=TRUE,BV133=TRUE,BX133=TRUE)</f>
        <v>0</v>
      </c>
    </row>
    <row r="134" spans="1:79" x14ac:dyDescent="0.25">
      <c r="A134" t="s">
        <v>199</v>
      </c>
      <c r="B134">
        <f>HYPERLINK("data/charts/ACN.png", "Open")</f>
        <v>0</v>
      </c>
      <c r="C134" t="s">
        <v>279</v>
      </c>
      <c r="D134">
        <v>247.01</v>
      </c>
      <c r="E134">
        <v>-37.99</v>
      </c>
      <c r="F134">
        <v>4.37</v>
      </c>
      <c r="G134">
        <v>-24.2</v>
      </c>
      <c r="H134">
        <v>325.89</v>
      </c>
      <c r="I134">
        <v>-0.0988</v>
      </c>
      <c r="J134" t="b">
        <v>0</v>
      </c>
      <c r="K134">
        <v>284.44</v>
      </c>
      <c r="L134">
        <v>261.12</v>
      </c>
      <c r="M134">
        <v>258.89</v>
      </c>
      <c r="N134">
        <v>277.22</v>
      </c>
      <c r="O134" t="b">
        <v>0</v>
      </c>
      <c r="P134" t="b">
        <v>0</v>
      </c>
      <c r="Q134" t="b">
        <v>0</v>
      </c>
      <c r="R134">
        <v>32.65</v>
      </c>
      <c r="S134" t="b">
        <v>1</v>
      </c>
      <c r="T134" t="b">
        <v>1</v>
      </c>
      <c r="U134">
        <v>-12.7364</v>
      </c>
      <c r="V134">
        <v>-12.5106</v>
      </c>
      <c r="W134" t="b">
        <v>0</v>
      </c>
      <c r="X134" t="b">
        <v>0</v>
      </c>
      <c r="Y134">
        <v>4223400</v>
      </c>
      <c r="Z134">
        <v>4755500</v>
      </c>
      <c r="AA134" t="b">
        <v>0</v>
      </c>
      <c r="AB134">
        <v>261.12</v>
      </c>
      <c r="AC134">
        <v>296.92</v>
      </c>
      <c r="AD134">
        <v>225.31</v>
      </c>
      <c r="AE134">
        <v>0.303</v>
      </c>
      <c r="AF134">
        <v>0.274</v>
      </c>
      <c r="AG134">
        <v>291</v>
      </c>
      <c r="AH134">
        <v>236.67</v>
      </c>
      <c r="AI134" t="b">
        <v>0</v>
      </c>
      <c r="AJ134">
        <v>6.319</v>
      </c>
      <c r="AK134">
        <v>237.53</v>
      </c>
      <c r="AL134">
        <v>236.67</v>
      </c>
      <c r="AM134">
        <v>225.31</v>
      </c>
      <c r="AN134">
        <v>219.84</v>
      </c>
      <c r="AO134">
        <v>237.53</v>
      </c>
      <c r="AP134" t="s">
        <v>280</v>
      </c>
      <c r="AQ134">
        <v>219.84</v>
      </c>
      <c r="AR134">
        <v>271.71</v>
      </c>
      <c r="AS134">
        <v>0.05</v>
      </c>
      <c r="AT134">
        <v>0.07000000000000001</v>
      </c>
      <c r="AU134">
        <v>60</v>
      </c>
      <c r="AV134">
        <v>0.9090912950663113</v>
      </c>
      <c r="AW134">
        <v>3</v>
      </c>
      <c r="AX134">
        <v>5.5</v>
      </c>
      <c r="AY134">
        <v>36</v>
      </c>
      <c r="AZ134">
        <v>1000</v>
      </c>
      <c r="BA134">
        <v>15000</v>
      </c>
      <c r="BD134">
        <v>19.65</v>
      </c>
      <c r="BE134">
        <v>17.56</v>
      </c>
      <c r="BF134">
        <v>2.4</v>
      </c>
      <c r="BG134">
        <v>0.46</v>
      </c>
      <c r="BH134">
        <v>0.26</v>
      </c>
      <c r="BI134">
        <v>6.41</v>
      </c>
      <c r="BJ134">
        <v>23.51</v>
      </c>
      <c r="BK134">
        <v>12.4</v>
      </c>
      <c r="BM134">
        <v>1.43</v>
      </c>
      <c r="BN134" t="s">
        <v>286</v>
      </c>
      <c r="BO134" t="b">
        <v>0</v>
      </c>
      <c r="BP134" s="1">
        <f>IFERROR(RANK.EQ(AX134,AX$2:AX$213,0),"")</f>
        <v>0</v>
      </c>
      <c r="BQ134">
        <f>IFERROR(Y134/Z134,"")</f>
        <v>0</v>
      </c>
      <c r="BR134">
        <f>IFERROR(U134-V134,"")</f>
        <v>0</v>
      </c>
      <c r="BS134">
        <f>IFERROR(U134&gt;V134,"")</f>
        <v>0</v>
      </c>
      <c r="BT134">
        <f>IF(AND(ISNUMBER(D134),ISNUMBER(H134),D134&gt;=H134), OR(O134=TRUE,P134=TRUE), FALSE)</f>
        <v>0</v>
      </c>
      <c r="BU134">
        <f>AND(ISNUMBER(R134), R134&gt;=45, R134&lt;=60, W134=TRUE, E134&gt;=-20)</f>
        <v>0</v>
      </c>
      <c r="BV134">
        <f>OR(AI134=TRUE,AA134=TRUE)</f>
        <v>0</v>
      </c>
      <c r="BW134">
        <f>IFERROR( (AR134-D134) / MAX(D134-AQ134,1E-9) ,"")</f>
        <v>0</v>
      </c>
      <c r="BX134">
        <f>IFERROR(BW134&gt;=2, FALSE)</f>
        <v>0</v>
      </c>
      <c r="BY134" s="1">
        <f>IFERROR(ROUNDDOWN(MIN(IF(BA134&gt;0, BA134/D134, 1E99),IF(AZ134&gt;0, AZ134/MAX(D134-AQ134,1E-9), 1E99)),0),"")</f>
        <v>0</v>
      </c>
      <c r="BZ134" s="2">
        <f>IF(AND(ISNUMBER(D134),ISNUMBER(AT134)), D134*(1-AT134), "")</f>
        <v>0</v>
      </c>
      <c r="CA134">
        <f>AND(BT134=TRUE,BU134=TRUE,BV134=TRUE,BX134=TRUE)</f>
        <v>0</v>
      </c>
    </row>
    <row r="135" spans="1:79" x14ac:dyDescent="0.25">
      <c r="A135" t="s">
        <v>200</v>
      </c>
      <c r="B135">
        <f>HYPERLINK("data/charts/FFIV.png", "Open")</f>
        <v>0</v>
      </c>
      <c r="C135" t="s">
        <v>279</v>
      </c>
      <c r="D135">
        <v>315.34</v>
      </c>
      <c r="E135">
        <v>-5.59</v>
      </c>
      <c r="F135">
        <v>65.15000000000001</v>
      </c>
      <c r="G135">
        <v>14.35</v>
      </c>
      <c r="H135">
        <v>275.76</v>
      </c>
      <c r="I135">
        <v>0.1575</v>
      </c>
      <c r="J135" t="b">
        <v>1</v>
      </c>
      <c r="K135">
        <v>301.19</v>
      </c>
      <c r="L135">
        <v>311.24</v>
      </c>
      <c r="M135">
        <v>312.49</v>
      </c>
      <c r="N135">
        <v>302.52</v>
      </c>
      <c r="O135" t="b">
        <v>1</v>
      </c>
      <c r="P135" t="b">
        <v>1</v>
      </c>
      <c r="Q135" t="b">
        <v>1</v>
      </c>
      <c r="R135">
        <v>54.86</v>
      </c>
      <c r="S135" t="b">
        <v>0</v>
      </c>
      <c r="T135" t="b">
        <v>0</v>
      </c>
      <c r="U135">
        <v>6.4507</v>
      </c>
      <c r="V135">
        <v>6.3169</v>
      </c>
      <c r="W135" t="b">
        <v>0</v>
      </c>
      <c r="X135" t="b">
        <v>1</v>
      </c>
      <c r="Y135">
        <v>327800</v>
      </c>
      <c r="Z135">
        <v>569715</v>
      </c>
      <c r="AA135" t="b">
        <v>0</v>
      </c>
      <c r="AB135">
        <v>311.24</v>
      </c>
      <c r="AC135">
        <v>331.28</v>
      </c>
      <c r="AD135">
        <v>291.2</v>
      </c>
      <c r="AE135">
        <v>0.602</v>
      </c>
      <c r="AF135">
        <v>0.129</v>
      </c>
      <c r="AG135">
        <v>334</v>
      </c>
      <c r="AH135">
        <v>294.89</v>
      </c>
      <c r="AI135" t="b">
        <v>0</v>
      </c>
      <c r="AJ135">
        <v>8.374000000000001</v>
      </c>
      <c r="AK135">
        <v>302.78</v>
      </c>
      <c r="AL135">
        <v>314.86</v>
      </c>
      <c r="AM135">
        <v>291.2</v>
      </c>
      <c r="AN135">
        <v>280.65</v>
      </c>
      <c r="AO135">
        <v>314.86</v>
      </c>
      <c r="AP135" t="s">
        <v>282</v>
      </c>
      <c r="AQ135">
        <v>280.65</v>
      </c>
      <c r="AR135">
        <v>346.87</v>
      </c>
      <c r="AS135">
        <v>0.05</v>
      </c>
      <c r="AT135">
        <v>0.07000000000000001</v>
      </c>
      <c r="AU135">
        <v>60</v>
      </c>
      <c r="AV135">
        <v>0.9089076676456803</v>
      </c>
      <c r="AW135">
        <v>3</v>
      </c>
      <c r="AX135">
        <v>5.5</v>
      </c>
      <c r="AY135">
        <v>28</v>
      </c>
      <c r="AZ135">
        <v>1000</v>
      </c>
      <c r="BA135">
        <v>15000</v>
      </c>
      <c r="BD135">
        <v>27.78</v>
      </c>
      <c r="BE135">
        <v>20.48</v>
      </c>
      <c r="BG135">
        <v>0</v>
      </c>
      <c r="BH135">
        <v>0.07000000000000001</v>
      </c>
      <c r="BI135">
        <v>6.74</v>
      </c>
      <c r="BJ135">
        <v>31.08</v>
      </c>
      <c r="BK135">
        <v>24.34</v>
      </c>
      <c r="BM135">
        <v>0.87</v>
      </c>
      <c r="BN135" t="s">
        <v>286</v>
      </c>
      <c r="BO135" t="b">
        <v>0</v>
      </c>
      <c r="BP135" s="1">
        <f>IFERROR(RANK.EQ(AX135,AX$2:AX$213,0),"")</f>
        <v>0</v>
      </c>
      <c r="BQ135">
        <f>IFERROR(Y135/Z135,"")</f>
        <v>0</v>
      </c>
      <c r="BR135">
        <f>IFERROR(U135-V135,"")</f>
        <v>0</v>
      </c>
      <c r="BS135">
        <f>IFERROR(U135&gt;V135,"")</f>
        <v>0</v>
      </c>
      <c r="BT135">
        <f>IF(AND(ISNUMBER(D135),ISNUMBER(H135),D135&gt;=H135), OR(O135=TRUE,P135=TRUE), FALSE)</f>
        <v>0</v>
      </c>
      <c r="BU135">
        <f>AND(ISNUMBER(R135), R135&gt;=45, R135&lt;=60, W135=TRUE, E135&gt;=-20)</f>
        <v>0</v>
      </c>
      <c r="BV135">
        <f>OR(AI135=TRUE,AA135=TRUE)</f>
        <v>0</v>
      </c>
      <c r="BW135">
        <f>IFERROR( (AR135-D135) / MAX(D135-AQ135,1E-9) ,"")</f>
        <v>0</v>
      </c>
      <c r="BX135">
        <f>IFERROR(BW135&gt;=2, FALSE)</f>
        <v>0</v>
      </c>
      <c r="BY135" s="1">
        <f>IFERROR(ROUNDDOWN(MIN(IF(BA135&gt;0, BA135/D135, 1E99),IF(AZ135&gt;0, AZ135/MAX(D135-AQ135,1E-9), 1E99)),0),"")</f>
        <v>0</v>
      </c>
      <c r="BZ135" s="2">
        <f>IF(AND(ISNUMBER(D135),ISNUMBER(AT135)), D135*(1-AT135), "")</f>
        <v>0</v>
      </c>
      <c r="CA135">
        <f>AND(BT135=TRUE,BU135=TRUE,BV135=TRUE,BX135=TRUE)</f>
        <v>0</v>
      </c>
    </row>
    <row r="136" spans="1:79" x14ac:dyDescent="0.25">
      <c r="A136" t="s">
        <v>201</v>
      </c>
      <c r="B136">
        <f>HYPERLINK("data/charts/ZTS.png", "Open")</f>
        <v>0</v>
      </c>
      <c r="C136" t="s">
        <v>279</v>
      </c>
      <c r="D136">
        <v>154.11</v>
      </c>
      <c r="E136">
        <v>-23.07</v>
      </c>
      <c r="F136">
        <v>10.31</v>
      </c>
      <c r="G136">
        <v>-5.66</v>
      </c>
      <c r="H136">
        <v>163.35</v>
      </c>
      <c r="I136">
        <v>-0.1109</v>
      </c>
      <c r="J136" t="b">
        <v>0</v>
      </c>
      <c r="K136">
        <v>155.41</v>
      </c>
      <c r="L136">
        <v>149.96</v>
      </c>
      <c r="M136">
        <v>151.08</v>
      </c>
      <c r="N136">
        <v>153.88</v>
      </c>
      <c r="O136" t="b">
        <v>1</v>
      </c>
      <c r="P136" t="b">
        <v>1</v>
      </c>
      <c r="Q136" t="b">
        <v>1</v>
      </c>
      <c r="R136">
        <v>55.43</v>
      </c>
      <c r="S136" t="b">
        <v>0</v>
      </c>
      <c r="T136" t="b">
        <v>0</v>
      </c>
      <c r="U136">
        <v>-0.8535</v>
      </c>
      <c r="V136">
        <v>-1.8358</v>
      </c>
      <c r="W136" t="b">
        <v>0</v>
      </c>
      <c r="X136" t="b">
        <v>1</v>
      </c>
      <c r="Y136">
        <v>3705700</v>
      </c>
      <c r="Z136">
        <v>3678870</v>
      </c>
      <c r="AA136" t="b">
        <v>0</v>
      </c>
      <c r="AB136">
        <v>149.96</v>
      </c>
      <c r="AC136">
        <v>155.14</v>
      </c>
      <c r="AD136">
        <v>144.78</v>
      </c>
      <c r="AE136">
        <v>0.901</v>
      </c>
      <c r="AF136">
        <v>0.06900000000000001</v>
      </c>
      <c r="AG136">
        <v>160.05</v>
      </c>
      <c r="AH136">
        <v>144.25</v>
      </c>
      <c r="AI136" t="b">
        <v>0</v>
      </c>
      <c r="AJ136">
        <v>3.697</v>
      </c>
      <c r="AK136">
        <v>148.56</v>
      </c>
      <c r="AL136">
        <v>144.25</v>
      </c>
      <c r="AM136">
        <v>144.78</v>
      </c>
      <c r="AN136">
        <v>137.16</v>
      </c>
      <c r="AO136">
        <v>148.56</v>
      </c>
      <c r="AP136" t="s">
        <v>280</v>
      </c>
      <c r="AQ136">
        <v>137.16</v>
      </c>
      <c r="AR136">
        <v>169.52</v>
      </c>
      <c r="AS136">
        <v>0.05</v>
      </c>
      <c r="AT136">
        <v>0.07000000000000001</v>
      </c>
      <c r="AU136">
        <v>60</v>
      </c>
      <c r="AV136">
        <v>0.9091444740265896</v>
      </c>
      <c r="AW136">
        <v>3</v>
      </c>
      <c r="AX136">
        <v>5.5</v>
      </c>
      <c r="AY136">
        <v>58</v>
      </c>
      <c r="AZ136">
        <v>1000</v>
      </c>
      <c r="BA136">
        <v>15000</v>
      </c>
      <c r="BD136">
        <v>26.52</v>
      </c>
      <c r="BE136">
        <v>24.31</v>
      </c>
      <c r="BF136">
        <v>1.3</v>
      </c>
      <c r="BG136">
        <v>0.32</v>
      </c>
      <c r="BH136">
        <v>1.36</v>
      </c>
      <c r="BI136">
        <v>10.81</v>
      </c>
      <c r="BJ136">
        <v>14.18</v>
      </c>
      <c r="BK136">
        <v>29.19</v>
      </c>
      <c r="BM136">
        <v>1.76</v>
      </c>
      <c r="BN136" t="s">
        <v>286</v>
      </c>
      <c r="BO136" t="b">
        <v>0</v>
      </c>
      <c r="BP136" s="1">
        <f>IFERROR(RANK.EQ(AX136,AX$2:AX$213,0),"")</f>
        <v>0</v>
      </c>
      <c r="BQ136">
        <f>IFERROR(Y136/Z136,"")</f>
        <v>0</v>
      </c>
      <c r="BR136">
        <f>IFERROR(U136-V136,"")</f>
        <v>0</v>
      </c>
      <c r="BS136">
        <f>IFERROR(U136&gt;V136,"")</f>
        <v>0</v>
      </c>
      <c r="BT136">
        <f>IF(AND(ISNUMBER(D136),ISNUMBER(H136),D136&gt;=H136), OR(O136=TRUE,P136=TRUE), FALSE)</f>
        <v>0</v>
      </c>
      <c r="BU136">
        <f>AND(ISNUMBER(R136), R136&gt;=45, R136&lt;=60, W136=TRUE, E136&gt;=-20)</f>
        <v>0</v>
      </c>
      <c r="BV136">
        <f>OR(AI136=TRUE,AA136=TRUE)</f>
        <v>0</v>
      </c>
      <c r="BW136">
        <f>IFERROR( (AR136-D136) / MAX(D136-AQ136,1E-9) ,"")</f>
        <v>0</v>
      </c>
      <c r="BX136">
        <f>IFERROR(BW136&gt;=2, FALSE)</f>
        <v>0</v>
      </c>
      <c r="BY136" s="1">
        <f>IFERROR(ROUNDDOWN(MIN(IF(BA136&gt;0, BA136/D136, 1E99),IF(AZ136&gt;0, AZ136/MAX(D136-AQ136,1E-9), 1E99)),0),"")</f>
        <v>0</v>
      </c>
      <c r="BZ136" s="2">
        <f>IF(AND(ISNUMBER(D136),ISNUMBER(AT136)), D136*(1-AT136), "")</f>
        <v>0</v>
      </c>
      <c r="CA136">
        <f>AND(BT136=TRUE,BU136=TRUE,BV136=TRUE,BX136=TRUE)</f>
        <v>0</v>
      </c>
    </row>
    <row r="137" spans="1:79" x14ac:dyDescent="0.25">
      <c r="A137" t="s">
        <v>202</v>
      </c>
      <c r="B137">
        <f>HYPERLINK("data/charts/PMZ-UN_TO.png", "Open")</f>
        <v>0</v>
      </c>
      <c r="C137" t="s">
        <v>279</v>
      </c>
      <c r="D137">
        <v>15.08</v>
      </c>
      <c r="E137">
        <v>-8.550000000000001</v>
      </c>
      <c r="F137">
        <v>14.5</v>
      </c>
      <c r="G137">
        <v>-0.19</v>
      </c>
      <c r="H137">
        <v>15.11</v>
      </c>
      <c r="I137">
        <v>-0.0263</v>
      </c>
      <c r="J137" t="b">
        <v>0</v>
      </c>
      <c r="K137">
        <v>14.95</v>
      </c>
      <c r="L137">
        <v>14.85</v>
      </c>
      <c r="M137">
        <v>14.9</v>
      </c>
      <c r="N137">
        <v>14.91</v>
      </c>
      <c r="O137" t="b">
        <v>1</v>
      </c>
      <c r="P137" t="b">
        <v>1</v>
      </c>
      <c r="Q137" t="b">
        <v>1</v>
      </c>
      <c r="R137">
        <v>59.14</v>
      </c>
      <c r="S137" t="b">
        <v>0</v>
      </c>
      <c r="T137" t="b">
        <v>0</v>
      </c>
      <c r="U137">
        <v>0.008999999999999999</v>
      </c>
      <c r="V137">
        <v>-0.0219</v>
      </c>
      <c r="W137" t="b">
        <v>0</v>
      </c>
      <c r="X137" t="b">
        <v>1</v>
      </c>
      <c r="Y137">
        <v>65900</v>
      </c>
      <c r="Z137">
        <v>118640</v>
      </c>
      <c r="AA137" t="b">
        <v>0</v>
      </c>
      <c r="AB137">
        <v>14.85</v>
      </c>
      <c r="AC137">
        <v>15.08</v>
      </c>
      <c r="AD137">
        <v>14.62</v>
      </c>
      <c r="AE137">
        <v>0.997</v>
      </c>
      <c r="AF137">
        <v>0.031</v>
      </c>
      <c r="AG137">
        <v>15.14</v>
      </c>
      <c r="AH137">
        <v>14.57</v>
      </c>
      <c r="AI137" t="b">
        <v>0</v>
      </c>
      <c r="AJ137">
        <v>0.216</v>
      </c>
      <c r="AK137">
        <v>14.76</v>
      </c>
      <c r="AL137">
        <v>14.7</v>
      </c>
      <c r="AM137">
        <v>14.62</v>
      </c>
      <c r="AN137">
        <v>13.42</v>
      </c>
      <c r="AO137">
        <v>14.76</v>
      </c>
      <c r="AP137" t="s">
        <v>280</v>
      </c>
      <c r="AQ137">
        <v>13.42</v>
      </c>
      <c r="AR137">
        <v>16.59</v>
      </c>
      <c r="AS137">
        <v>0.05</v>
      </c>
      <c r="AT137">
        <v>0.07000000000000001</v>
      </c>
      <c r="AU137">
        <v>60</v>
      </c>
      <c r="AV137">
        <v>0.9096386419842566</v>
      </c>
      <c r="AW137">
        <v>3</v>
      </c>
      <c r="AX137">
        <v>5.5</v>
      </c>
      <c r="AY137">
        <v>602</v>
      </c>
      <c r="AZ137">
        <v>1000</v>
      </c>
      <c r="BA137">
        <v>15000</v>
      </c>
      <c r="BD137">
        <v>23.56</v>
      </c>
      <c r="BE137">
        <v>9.67</v>
      </c>
      <c r="BF137">
        <v>5.71</v>
      </c>
      <c r="BG137">
        <v>1.34</v>
      </c>
      <c r="BH137">
        <v>0.89</v>
      </c>
      <c r="BI137">
        <v>0.57</v>
      </c>
      <c r="BJ137">
        <v>52.93</v>
      </c>
      <c r="BK137">
        <v>33.23</v>
      </c>
      <c r="BM137">
        <v>1.22</v>
      </c>
      <c r="BN137" t="s">
        <v>300</v>
      </c>
      <c r="BO137" t="b">
        <v>0</v>
      </c>
      <c r="BP137" s="1">
        <f>IFERROR(RANK.EQ(AX137,AX$2:AX$213,0),"")</f>
        <v>0</v>
      </c>
      <c r="BQ137">
        <f>IFERROR(Y137/Z137,"")</f>
        <v>0</v>
      </c>
      <c r="BR137">
        <f>IFERROR(U137-V137,"")</f>
        <v>0</v>
      </c>
      <c r="BS137">
        <f>IFERROR(U137&gt;V137,"")</f>
        <v>0</v>
      </c>
      <c r="BT137">
        <f>IF(AND(ISNUMBER(D137),ISNUMBER(H137),D137&gt;=H137), OR(O137=TRUE,P137=TRUE), FALSE)</f>
        <v>0</v>
      </c>
      <c r="BU137">
        <f>AND(ISNUMBER(R137), R137&gt;=45, R137&lt;=60, W137=TRUE, E137&gt;=-20)</f>
        <v>0</v>
      </c>
      <c r="BV137">
        <f>OR(AI137=TRUE,AA137=TRUE)</f>
        <v>0</v>
      </c>
      <c r="BW137">
        <f>IFERROR( (AR137-D137) / MAX(D137-AQ137,1E-9) ,"")</f>
        <v>0</v>
      </c>
      <c r="BX137">
        <f>IFERROR(BW137&gt;=2, FALSE)</f>
        <v>0</v>
      </c>
      <c r="BY137" s="1">
        <f>IFERROR(ROUNDDOWN(MIN(IF(BA137&gt;0, BA137/D137, 1E99),IF(AZ137&gt;0, AZ137/MAX(D137-AQ137,1E-9), 1E99)),0),"")</f>
        <v>0</v>
      </c>
      <c r="BZ137" s="2">
        <f>IF(AND(ISNUMBER(D137),ISNUMBER(AT137)), D137*(1-AT137), "")</f>
        <v>0</v>
      </c>
      <c r="CA137">
        <f>AND(BT137=TRUE,BU137=TRUE,BV137=TRUE,BX137=TRUE)</f>
        <v>0</v>
      </c>
    </row>
    <row r="138" spans="1:79" x14ac:dyDescent="0.25">
      <c r="A138" t="s">
        <v>203</v>
      </c>
      <c r="B138">
        <f>HYPERLINK("data/charts/GILD.png", "Open")</f>
        <v>0</v>
      </c>
      <c r="C138" t="s">
        <v>279</v>
      </c>
      <c r="D138">
        <v>118.37</v>
      </c>
      <c r="E138">
        <v>-2.84</v>
      </c>
      <c r="F138">
        <v>62.4</v>
      </c>
      <c r="G138">
        <v>14.62</v>
      </c>
      <c r="H138">
        <v>103.27</v>
      </c>
      <c r="I138">
        <v>0.1384</v>
      </c>
      <c r="J138" t="b">
        <v>1</v>
      </c>
      <c r="K138">
        <v>111.97</v>
      </c>
      <c r="L138">
        <v>114.69</v>
      </c>
      <c r="M138">
        <v>115.19</v>
      </c>
      <c r="N138">
        <v>112.39</v>
      </c>
      <c r="O138" t="b">
        <v>1</v>
      </c>
      <c r="P138" t="b">
        <v>1</v>
      </c>
      <c r="Q138" t="b">
        <v>1</v>
      </c>
      <c r="R138">
        <v>59.2</v>
      </c>
      <c r="S138" t="b">
        <v>0</v>
      </c>
      <c r="T138" t="b">
        <v>0</v>
      </c>
      <c r="U138">
        <v>2.2068</v>
      </c>
      <c r="V138">
        <v>1.683</v>
      </c>
      <c r="W138" t="b">
        <v>0</v>
      </c>
      <c r="X138" t="b">
        <v>0</v>
      </c>
      <c r="Y138">
        <v>8859800</v>
      </c>
      <c r="Z138">
        <v>6512780</v>
      </c>
      <c r="AA138" t="b">
        <v>0</v>
      </c>
      <c r="AB138">
        <v>114.69</v>
      </c>
      <c r="AC138">
        <v>122.02</v>
      </c>
      <c r="AD138">
        <v>107.37</v>
      </c>
      <c r="AE138">
        <v>0.751</v>
      </c>
      <c r="AF138">
        <v>0.128</v>
      </c>
      <c r="AG138">
        <v>121.83</v>
      </c>
      <c r="AH138">
        <v>107.75</v>
      </c>
      <c r="AI138" t="b">
        <v>0</v>
      </c>
      <c r="AJ138">
        <v>2.478</v>
      </c>
      <c r="AK138">
        <v>114.65</v>
      </c>
      <c r="AL138">
        <v>108.54</v>
      </c>
      <c r="AM138">
        <v>107.37</v>
      </c>
      <c r="AN138">
        <v>105.35</v>
      </c>
      <c r="AO138">
        <v>114.65</v>
      </c>
      <c r="AP138" t="s">
        <v>280</v>
      </c>
      <c r="AQ138">
        <v>105.35</v>
      </c>
      <c r="AR138">
        <v>130.21</v>
      </c>
      <c r="AS138">
        <v>0.05</v>
      </c>
      <c r="AT138">
        <v>0.07000000000000001</v>
      </c>
      <c r="AU138">
        <v>60</v>
      </c>
      <c r="AV138">
        <v>0.9093697969093109</v>
      </c>
      <c r="AW138">
        <v>3</v>
      </c>
      <c r="AX138">
        <v>5.5</v>
      </c>
      <c r="AY138">
        <v>76</v>
      </c>
      <c r="AZ138">
        <v>1000</v>
      </c>
      <c r="BA138">
        <v>15000</v>
      </c>
      <c r="BD138">
        <v>23.49</v>
      </c>
      <c r="BE138">
        <v>15.93</v>
      </c>
      <c r="BF138">
        <v>2.67</v>
      </c>
      <c r="BG138">
        <v>0.62</v>
      </c>
      <c r="BH138">
        <v>1.27</v>
      </c>
      <c r="BI138">
        <v>6.21</v>
      </c>
      <c r="BJ138">
        <v>48.11</v>
      </c>
      <c r="BK138">
        <v>27.68</v>
      </c>
      <c r="BM138">
        <v>1.1</v>
      </c>
      <c r="BN138" t="s">
        <v>286</v>
      </c>
      <c r="BO138" t="b">
        <v>0</v>
      </c>
      <c r="BP138" s="1">
        <f>IFERROR(RANK.EQ(AX138,AX$2:AX$213,0),"")</f>
        <v>0</v>
      </c>
      <c r="BQ138">
        <f>IFERROR(Y138/Z138,"")</f>
        <v>0</v>
      </c>
      <c r="BR138">
        <f>IFERROR(U138-V138,"")</f>
        <v>0</v>
      </c>
      <c r="BS138">
        <f>IFERROR(U138&gt;V138,"")</f>
        <v>0</v>
      </c>
      <c r="BT138">
        <f>IF(AND(ISNUMBER(D138),ISNUMBER(H138),D138&gt;=H138), OR(O138=TRUE,P138=TRUE), FALSE)</f>
        <v>0</v>
      </c>
      <c r="BU138">
        <f>AND(ISNUMBER(R138), R138&gt;=45, R138&lt;=60, W138=TRUE, E138&gt;=-20)</f>
        <v>0</v>
      </c>
      <c r="BV138">
        <f>OR(AI138=TRUE,AA138=TRUE)</f>
        <v>0</v>
      </c>
      <c r="BW138">
        <f>IFERROR( (AR138-D138) / MAX(D138-AQ138,1E-9) ,"")</f>
        <v>0</v>
      </c>
      <c r="BX138">
        <f>IFERROR(BW138&gt;=2, FALSE)</f>
        <v>0</v>
      </c>
      <c r="BY138" s="1">
        <f>IFERROR(ROUNDDOWN(MIN(IF(BA138&gt;0, BA138/D138, 1E99),IF(AZ138&gt;0, AZ138/MAX(D138-AQ138,1E-9), 1E99)),0),"")</f>
        <v>0</v>
      </c>
      <c r="BZ138" s="2">
        <f>IF(AND(ISNUMBER(D138),ISNUMBER(AT138)), D138*(1-AT138), "")</f>
        <v>0</v>
      </c>
      <c r="CA138">
        <f>AND(BT138=TRUE,BU138=TRUE,BV138=TRUE,BX138=TRUE)</f>
        <v>0</v>
      </c>
    </row>
    <row r="139" spans="1:79" x14ac:dyDescent="0.25">
      <c r="A139" t="s">
        <v>204</v>
      </c>
      <c r="B139">
        <f>HYPERLINK("data/charts/APA.png", "Open")</f>
        <v>0</v>
      </c>
      <c r="C139" t="s">
        <v>279</v>
      </c>
      <c r="D139">
        <v>20.48</v>
      </c>
      <c r="E139">
        <v>-31.46</v>
      </c>
      <c r="F139">
        <v>50.81</v>
      </c>
      <c r="G139">
        <v>1.36</v>
      </c>
      <c r="H139">
        <v>20.21</v>
      </c>
      <c r="I139">
        <v>-0.1579</v>
      </c>
      <c r="J139" t="b">
        <v>0</v>
      </c>
      <c r="K139">
        <v>19.33</v>
      </c>
      <c r="L139">
        <v>19.38</v>
      </c>
      <c r="M139">
        <v>19.58</v>
      </c>
      <c r="N139">
        <v>19.17</v>
      </c>
      <c r="O139" t="b">
        <v>1</v>
      </c>
      <c r="P139" t="b">
        <v>1</v>
      </c>
      <c r="Q139" t="b">
        <v>1</v>
      </c>
      <c r="R139">
        <v>60.88</v>
      </c>
      <c r="S139" t="b">
        <v>0</v>
      </c>
      <c r="T139" t="b">
        <v>0</v>
      </c>
      <c r="U139">
        <v>0.3516</v>
      </c>
      <c r="V139">
        <v>0.181</v>
      </c>
      <c r="W139" t="b">
        <v>0</v>
      </c>
      <c r="X139" t="b">
        <v>0</v>
      </c>
      <c r="Y139">
        <v>7108500</v>
      </c>
      <c r="Z139">
        <v>7572165</v>
      </c>
      <c r="AA139" t="b">
        <v>0</v>
      </c>
      <c r="AB139">
        <v>19.38</v>
      </c>
      <c r="AC139">
        <v>20.89</v>
      </c>
      <c r="AD139">
        <v>17.88</v>
      </c>
      <c r="AE139">
        <v>0.863</v>
      </c>
      <c r="AF139">
        <v>0.156</v>
      </c>
      <c r="AG139">
        <v>20.79</v>
      </c>
      <c r="AH139">
        <v>17.86</v>
      </c>
      <c r="AI139" t="b">
        <v>0</v>
      </c>
      <c r="AJ139">
        <v>0.728</v>
      </c>
      <c r="AK139">
        <v>19.39</v>
      </c>
      <c r="AL139">
        <v>17.86</v>
      </c>
      <c r="AM139">
        <v>17.88</v>
      </c>
      <c r="AN139">
        <v>18.23</v>
      </c>
      <c r="AO139">
        <v>19.39</v>
      </c>
      <c r="AP139" t="s">
        <v>280</v>
      </c>
      <c r="AQ139">
        <v>18.23</v>
      </c>
      <c r="AR139">
        <v>22.53</v>
      </c>
      <c r="AS139">
        <v>0.05</v>
      </c>
      <c r="AT139">
        <v>0.07000000000000001</v>
      </c>
      <c r="AU139">
        <v>60</v>
      </c>
      <c r="AV139">
        <v>0.9111114999277419</v>
      </c>
      <c r="AW139">
        <v>3</v>
      </c>
      <c r="AX139">
        <v>5.5</v>
      </c>
      <c r="AY139">
        <v>444</v>
      </c>
      <c r="AZ139">
        <v>1000</v>
      </c>
      <c r="BA139">
        <v>15000</v>
      </c>
      <c r="BD139">
        <v>7.09</v>
      </c>
      <c r="BE139">
        <v>7.45</v>
      </c>
      <c r="BF139">
        <v>4.88</v>
      </c>
      <c r="BG139">
        <v>0.35</v>
      </c>
      <c r="BH139">
        <v>0.68</v>
      </c>
      <c r="BI139">
        <v>-17.37</v>
      </c>
      <c r="BJ139">
        <v>73.95999999999999</v>
      </c>
      <c r="BK139">
        <v>27.69</v>
      </c>
      <c r="BM139">
        <v>0.62</v>
      </c>
      <c r="BN139" t="s">
        <v>287</v>
      </c>
      <c r="BO139" t="b">
        <v>0</v>
      </c>
      <c r="BP139" s="1">
        <f>IFERROR(RANK.EQ(AX139,AX$2:AX$213,0),"")</f>
        <v>0</v>
      </c>
      <c r="BQ139">
        <f>IFERROR(Y139/Z139,"")</f>
        <v>0</v>
      </c>
      <c r="BR139">
        <f>IFERROR(U139-V139,"")</f>
        <v>0</v>
      </c>
      <c r="BS139">
        <f>IFERROR(U139&gt;V139,"")</f>
        <v>0</v>
      </c>
      <c r="BT139">
        <f>IF(AND(ISNUMBER(D139),ISNUMBER(H139),D139&gt;=H139), OR(O139=TRUE,P139=TRUE), FALSE)</f>
        <v>0</v>
      </c>
      <c r="BU139">
        <f>AND(ISNUMBER(R139), R139&gt;=45, R139&lt;=60, W139=TRUE, E139&gt;=-20)</f>
        <v>0</v>
      </c>
      <c r="BV139">
        <f>OR(AI139=TRUE,AA139=TRUE)</f>
        <v>0</v>
      </c>
      <c r="BW139">
        <f>IFERROR( (AR139-D139) / MAX(D139-AQ139,1E-9) ,"")</f>
        <v>0</v>
      </c>
      <c r="BX139">
        <f>IFERROR(BW139&gt;=2, FALSE)</f>
        <v>0</v>
      </c>
      <c r="BY139" s="1">
        <f>IFERROR(ROUNDDOWN(MIN(IF(BA139&gt;0, BA139/D139, 1E99),IF(AZ139&gt;0, AZ139/MAX(D139-AQ139,1E-9), 1E99)),0),"")</f>
        <v>0</v>
      </c>
      <c r="BZ139" s="2">
        <f>IF(AND(ISNUMBER(D139),ISNUMBER(AT139)), D139*(1-AT139), "")</f>
        <v>0</v>
      </c>
      <c r="CA139">
        <f>AND(BT139=TRUE,BU139=TRUE,BV139=TRUE,BX139=TRUE)</f>
        <v>0</v>
      </c>
    </row>
    <row r="140" spans="1:79" x14ac:dyDescent="0.25">
      <c r="A140" t="s">
        <v>205</v>
      </c>
      <c r="B140">
        <f>HYPERLINK("data/charts/D.png", "Open")</f>
        <v>0</v>
      </c>
      <c r="C140" t="s">
        <v>279</v>
      </c>
      <c r="D140">
        <v>61.14</v>
      </c>
      <c r="E140">
        <v>-1.8</v>
      </c>
      <c r="F140">
        <v>27.19</v>
      </c>
      <c r="G140">
        <v>9.359999999999999</v>
      </c>
      <c r="H140">
        <v>55.9</v>
      </c>
      <c r="I140">
        <v>0.0002</v>
      </c>
      <c r="J140" t="b">
        <v>1</v>
      </c>
      <c r="K140">
        <v>57.71</v>
      </c>
      <c r="L140">
        <v>59.99</v>
      </c>
      <c r="M140">
        <v>60.08</v>
      </c>
      <c r="N140">
        <v>58.4</v>
      </c>
      <c r="O140" t="b">
        <v>1</v>
      </c>
      <c r="P140" t="b">
        <v>1</v>
      </c>
      <c r="Q140" t="b">
        <v>1</v>
      </c>
      <c r="R140">
        <v>61.77</v>
      </c>
      <c r="S140" t="b">
        <v>0</v>
      </c>
      <c r="T140" t="b">
        <v>0</v>
      </c>
      <c r="U140">
        <v>1.162</v>
      </c>
      <c r="V140">
        <v>1.1433</v>
      </c>
      <c r="W140" t="b">
        <v>0</v>
      </c>
      <c r="X140" t="b">
        <v>1</v>
      </c>
      <c r="Y140">
        <v>6542800</v>
      </c>
      <c r="Z140">
        <v>5046630</v>
      </c>
      <c r="AA140" t="b">
        <v>0</v>
      </c>
      <c r="AB140">
        <v>59.99</v>
      </c>
      <c r="AC140">
        <v>63.01</v>
      </c>
      <c r="AD140">
        <v>56.96</v>
      </c>
      <c r="AE140">
        <v>0.6909999999999999</v>
      </c>
      <c r="AF140">
        <v>0.101</v>
      </c>
      <c r="AG140">
        <v>62.26</v>
      </c>
      <c r="AH140">
        <v>57.44</v>
      </c>
      <c r="AI140" t="b">
        <v>0</v>
      </c>
      <c r="AJ140">
        <v>0.981</v>
      </c>
      <c r="AK140">
        <v>59.67</v>
      </c>
      <c r="AL140">
        <v>60.61</v>
      </c>
      <c r="AM140">
        <v>56.96</v>
      </c>
      <c r="AN140">
        <v>54.41</v>
      </c>
      <c r="AO140">
        <v>60.61</v>
      </c>
      <c r="AP140" t="s">
        <v>282</v>
      </c>
      <c r="AQ140">
        <v>54.41</v>
      </c>
      <c r="AR140">
        <v>67.25</v>
      </c>
      <c r="AS140">
        <v>0.05</v>
      </c>
      <c r="AT140">
        <v>0.07000000000000001</v>
      </c>
      <c r="AU140">
        <v>60</v>
      </c>
      <c r="AV140">
        <v>0.9078753587629573</v>
      </c>
      <c r="AW140">
        <v>3</v>
      </c>
      <c r="AX140">
        <v>5.5</v>
      </c>
      <c r="AY140">
        <v>148</v>
      </c>
      <c r="AZ140">
        <v>1000</v>
      </c>
      <c r="BA140">
        <v>15000</v>
      </c>
      <c r="BD140">
        <v>20.31</v>
      </c>
      <c r="BE140">
        <v>18.09</v>
      </c>
      <c r="BF140">
        <v>4.37</v>
      </c>
      <c r="BG140">
        <v>0.89</v>
      </c>
      <c r="BH140">
        <v>1.5</v>
      </c>
      <c r="BI140">
        <v>-6.53</v>
      </c>
      <c r="BJ140">
        <v>17.65</v>
      </c>
      <c r="BK140">
        <v>19.95</v>
      </c>
      <c r="BM140">
        <v>0.58</v>
      </c>
      <c r="BN140" t="s">
        <v>287</v>
      </c>
      <c r="BO140" t="b">
        <v>0</v>
      </c>
      <c r="BP140" s="1">
        <f>IFERROR(RANK.EQ(AX140,AX$2:AX$213,0),"")</f>
        <v>0</v>
      </c>
      <c r="BQ140">
        <f>IFERROR(Y140/Z140,"")</f>
        <v>0</v>
      </c>
      <c r="BR140">
        <f>IFERROR(U140-V140,"")</f>
        <v>0</v>
      </c>
      <c r="BS140">
        <f>IFERROR(U140&gt;V140,"")</f>
        <v>0</v>
      </c>
      <c r="BT140">
        <f>IF(AND(ISNUMBER(D140),ISNUMBER(H140),D140&gt;=H140), OR(O140=TRUE,P140=TRUE), FALSE)</f>
        <v>0</v>
      </c>
      <c r="BU140">
        <f>AND(ISNUMBER(R140), R140&gt;=45, R140&lt;=60, W140=TRUE, E140&gt;=-20)</f>
        <v>0</v>
      </c>
      <c r="BV140">
        <f>OR(AI140=TRUE,AA140=TRUE)</f>
        <v>0</v>
      </c>
      <c r="BW140">
        <f>IFERROR( (AR140-D140) / MAX(D140-AQ140,1E-9) ,"")</f>
        <v>0</v>
      </c>
      <c r="BX140">
        <f>IFERROR(BW140&gt;=2, FALSE)</f>
        <v>0</v>
      </c>
      <c r="BY140" s="1">
        <f>IFERROR(ROUNDDOWN(MIN(IF(BA140&gt;0, BA140/D140, 1E99),IF(AZ140&gt;0, AZ140/MAX(D140-AQ140,1E-9), 1E99)),0),"")</f>
        <v>0</v>
      </c>
      <c r="BZ140" s="2">
        <f>IF(AND(ISNUMBER(D140),ISNUMBER(AT140)), D140*(1-AT140), "")</f>
        <v>0</v>
      </c>
      <c r="CA140">
        <f>AND(BT140=TRUE,BU140=TRUE,BV140=TRUE,BX140=TRUE)</f>
        <v>0</v>
      </c>
    </row>
    <row r="141" spans="1:79" x14ac:dyDescent="0.25">
      <c r="A141" t="s">
        <v>206</v>
      </c>
      <c r="B141">
        <f>HYPERLINK("data/charts/GOOGL.png", "Open")</f>
        <v>0</v>
      </c>
      <c r="C141" t="s">
        <v>279</v>
      </c>
      <c r="D141">
        <v>203.9</v>
      </c>
      <c r="E141">
        <v>-1.52</v>
      </c>
      <c r="F141">
        <v>45.09</v>
      </c>
      <c r="G141">
        <v>15.33</v>
      </c>
      <c r="H141">
        <v>176.8</v>
      </c>
      <c r="I141">
        <v>0.0624</v>
      </c>
      <c r="J141" t="b">
        <v>1</v>
      </c>
      <c r="K141">
        <v>184.05</v>
      </c>
      <c r="L141">
        <v>195.99</v>
      </c>
      <c r="M141">
        <v>195.28</v>
      </c>
      <c r="N141">
        <v>186.41</v>
      </c>
      <c r="O141" t="b">
        <v>1</v>
      </c>
      <c r="P141" t="b">
        <v>1</v>
      </c>
      <c r="Q141" t="b">
        <v>1</v>
      </c>
      <c r="R141">
        <v>71.69</v>
      </c>
      <c r="S141" t="b">
        <v>0</v>
      </c>
      <c r="T141" t="b">
        <v>0</v>
      </c>
      <c r="U141">
        <v>5.6825</v>
      </c>
      <c r="V141">
        <v>5.3844</v>
      </c>
      <c r="W141" t="b">
        <v>0</v>
      </c>
      <c r="X141" t="b">
        <v>1</v>
      </c>
      <c r="Y141">
        <v>34911300</v>
      </c>
      <c r="Z141">
        <v>37842970</v>
      </c>
      <c r="AA141" t="b">
        <v>0</v>
      </c>
      <c r="AB141">
        <v>195.99</v>
      </c>
      <c r="AC141">
        <v>205.43</v>
      </c>
      <c r="AD141">
        <v>186.55</v>
      </c>
      <c r="AE141">
        <v>0.919</v>
      </c>
      <c r="AF141">
        <v>0.096</v>
      </c>
      <c r="AG141">
        <v>206.44</v>
      </c>
      <c r="AH141">
        <v>186.15</v>
      </c>
      <c r="AI141" t="b">
        <v>0</v>
      </c>
      <c r="AJ141">
        <v>4.079</v>
      </c>
      <c r="AK141">
        <v>197.78</v>
      </c>
      <c r="AL141">
        <v>197.51</v>
      </c>
      <c r="AM141">
        <v>186.55</v>
      </c>
      <c r="AN141">
        <v>181.47</v>
      </c>
      <c r="AO141">
        <v>197.78</v>
      </c>
      <c r="AP141" t="s">
        <v>280</v>
      </c>
      <c r="AQ141">
        <v>181.47</v>
      </c>
      <c r="AR141">
        <v>224.29</v>
      </c>
      <c r="AS141">
        <v>0.05</v>
      </c>
      <c r="AT141">
        <v>0.07000000000000001</v>
      </c>
      <c r="AU141">
        <v>60</v>
      </c>
      <c r="AV141">
        <v>0.9090508984361114</v>
      </c>
      <c r="AW141">
        <v>3</v>
      </c>
      <c r="AX141">
        <v>5.5</v>
      </c>
      <c r="AY141">
        <v>44</v>
      </c>
      <c r="AZ141">
        <v>1000</v>
      </c>
      <c r="BA141">
        <v>15000</v>
      </c>
      <c r="BD141">
        <v>21.74</v>
      </c>
      <c r="BE141">
        <v>22.76</v>
      </c>
      <c r="BF141">
        <v>41</v>
      </c>
      <c r="BG141">
        <v>0.09</v>
      </c>
      <c r="BH141">
        <v>0.1</v>
      </c>
      <c r="BI141">
        <v>6.86</v>
      </c>
      <c r="BJ141">
        <v>-17.96</v>
      </c>
      <c r="BK141">
        <v>29.24</v>
      </c>
      <c r="BM141">
        <v>1.12</v>
      </c>
      <c r="BN141" t="s">
        <v>307</v>
      </c>
      <c r="BO141" t="b">
        <v>0</v>
      </c>
      <c r="BP141" s="1">
        <f>IFERROR(RANK.EQ(AX141,AX$2:AX$213,0),"")</f>
        <v>0</v>
      </c>
      <c r="BQ141">
        <f>IFERROR(Y141/Z141,"")</f>
        <v>0</v>
      </c>
      <c r="BR141">
        <f>IFERROR(U141-V141,"")</f>
        <v>0</v>
      </c>
      <c r="BS141">
        <f>IFERROR(U141&gt;V141,"")</f>
        <v>0</v>
      </c>
      <c r="BT141">
        <f>IF(AND(ISNUMBER(D141),ISNUMBER(H141),D141&gt;=H141), OR(O141=TRUE,P141=TRUE), FALSE)</f>
        <v>0</v>
      </c>
      <c r="BU141">
        <f>AND(ISNUMBER(R141), R141&gt;=45, R141&lt;=60, W141=TRUE, E141&gt;=-20)</f>
        <v>0</v>
      </c>
      <c r="BV141">
        <f>OR(AI141=TRUE,AA141=TRUE)</f>
        <v>0</v>
      </c>
      <c r="BW141">
        <f>IFERROR( (AR141-D141) / MAX(D141-AQ141,1E-9) ,"")</f>
        <v>0</v>
      </c>
      <c r="BX141">
        <f>IFERROR(BW141&gt;=2, FALSE)</f>
        <v>0</v>
      </c>
      <c r="BY141" s="1">
        <f>IFERROR(ROUNDDOWN(MIN(IF(BA141&gt;0, BA141/D141, 1E99),IF(AZ141&gt;0, AZ141/MAX(D141-AQ141,1E-9), 1E99)),0),"")</f>
        <v>0</v>
      </c>
      <c r="BZ141" s="2">
        <f>IF(AND(ISNUMBER(D141),ISNUMBER(AT141)), D141*(1-AT141), "")</f>
        <v>0</v>
      </c>
      <c r="CA141">
        <f>AND(BT141=TRUE,BU141=TRUE,BV141=TRUE,BX141=TRUE)</f>
        <v>0</v>
      </c>
    </row>
    <row r="142" spans="1:79" x14ac:dyDescent="0.25">
      <c r="A142" t="s">
        <v>207</v>
      </c>
      <c r="B142">
        <f>HYPERLINK("data/charts/GOOG.png", "Open")</f>
        <v>0</v>
      </c>
      <c r="C142" t="s">
        <v>279</v>
      </c>
      <c r="D142">
        <v>204.91</v>
      </c>
      <c r="E142">
        <v>-1.82</v>
      </c>
      <c r="F142">
        <v>43.64</v>
      </c>
      <c r="G142">
        <v>14.91</v>
      </c>
      <c r="H142">
        <v>178.32</v>
      </c>
      <c r="I142">
        <v>0.0609</v>
      </c>
      <c r="J142" t="b">
        <v>1</v>
      </c>
      <c r="K142">
        <v>185.02</v>
      </c>
      <c r="L142">
        <v>196.85</v>
      </c>
      <c r="M142">
        <v>196.15</v>
      </c>
      <c r="N142">
        <v>187.42</v>
      </c>
      <c r="O142" t="b">
        <v>1</v>
      </c>
      <c r="P142" t="b">
        <v>1</v>
      </c>
      <c r="Q142" t="b">
        <v>1</v>
      </c>
      <c r="R142">
        <v>72.31999999999999</v>
      </c>
      <c r="S142" t="b">
        <v>0</v>
      </c>
      <c r="T142" t="b">
        <v>0</v>
      </c>
      <c r="U142">
        <v>5.6533</v>
      </c>
      <c r="V142">
        <v>5.3248</v>
      </c>
      <c r="W142" t="b">
        <v>0</v>
      </c>
      <c r="X142" t="b">
        <v>1</v>
      </c>
      <c r="Y142">
        <v>21101100</v>
      </c>
      <c r="Z142">
        <v>24040000</v>
      </c>
      <c r="AA142" t="b">
        <v>0</v>
      </c>
      <c r="AB142">
        <v>196.85</v>
      </c>
      <c r="AC142">
        <v>206.23</v>
      </c>
      <c r="AD142">
        <v>187.48</v>
      </c>
      <c r="AE142">
        <v>0.93</v>
      </c>
      <c r="AF142">
        <v>0.095</v>
      </c>
      <c r="AG142">
        <v>207.33</v>
      </c>
      <c r="AH142">
        <v>187.05</v>
      </c>
      <c r="AI142" t="b">
        <v>0</v>
      </c>
      <c r="AJ142">
        <v>4.018</v>
      </c>
      <c r="AK142">
        <v>198.88</v>
      </c>
      <c r="AL142">
        <v>198.64</v>
      </c>
      <c r="AM142">
        <v>187.48</v>
      </c>
      <c r="AN142">
        <v>182.37</v>
      </c>
      <c r="AO142">
        <v>198.88</v>
      </c>
      <c r="AP142" t="s">
        <v>280</v>
      </c>
      <c r="AQ142">
        <v>182.37</v>
      </c>
      <c r="AR142">
        <v>225.4</v>
      </c>
      <c r="AS142">
        <v>0.05</v>
      </c>
      <c r="AT142">
        <v>0.07000000000000001</v>
      </c>
      <c r="AU142">
        <v>60</v>
      </c>
      <c r="AV142">
        <v>0.9090502665860307</v>
      </c>
      <c r="AW142">
        <v>3</v>
      </c>
      <c r="AX142">
        <v>5.5</v>
      </c>
      <c r="AY142">
        <v>44</v>
      </c>
      <c r="AZ142">
        <v>1000</v>
      </c>
      <c r="BA142">
        <v>15000</v>
      </c>
      <c r="BD142">
        <v>21.85</v>
      </c>
      <c r="BE142">
        <v>22.89</v>
      </c>
      <c r="BF142">
        <v>41</v>
      </c>
      <c r="BG142">
        <v>0.09</v>
      </c>
      <c r="BH142">
        <v>0.1</v>
      </c>
      <c r="BI142">
        <v>6.86</v>
      </c>
      <c r="BJ142">
        <v>-17.96</v>
      </c>
      <c r="BK142">
        <v>29.24</v>
      </c>
      <c r="BM142">
        <v>1.13</v>
      </c>
      <c r="BN142" t="s">
        <v>307</v>
      </c>
      <c r="BO142" t="b">
        <v>0</v>
      </c>
      <c r="BP142" s="1">
        <f>IFERROR(RANK.EQ(AX142,AX$2:AX$213,0),"")</f>
        <v>0</v>
      </c>
      <c r="BQ142">
        <f>IFERROR(Y142/Z142,"")</f>
        <v>0</v>
      </c>
      <c r="BR142">
        <f>IFERROR(U142-V142,"")</f>
        <v>0</v>
      </c>
      <c r="BS142">
        <f>IFERROR(U142&gt;V142,"")</f>
        <v>0</v>
      </c>
      <c r="BT142">
        <f>IF(AND(ISNUMBER(D142),ISNUMBER(H142),D142&gt;=H142), OR(O142=TRUE,P142=TRUE), FALSE)</f>
        <v>0</v>
      </c>
      <c r="BU142">
        <f>AND(ISNUMBER(R142), R142&gt;=45, R142&lt;=60, W142=TRUE, E142&gt;=-20)</f>
        <v>0</v>
      </c>
      <c r="BV142">
        <f>OR(AI142=TRUE,AA142=TRUE)</f>
        <v>0</v>
      </c>
      <c r="BW142">
        <f>IFERROR( (AR142-D142) / MAX(D142-AQ142,1E-9) ,"")</f>
        <v>0</v>
      </c>
      <c r="BX142">
        <f>IFERROR(BW142&gt;=2, FALSE)</f>
        <v>0</v>
      </c>
      <c r="BY142" s="1">
        <f>IFERROR(ROUNDDOWN(MIN(IF(BA142&gt;0, BA142/D142, 1E99),IF(AZ142&gt;0, AZ142/MAX(D142-AQ142,1E-9), 1E99)),0),"")</f>
        <v>0</v>
      </c>
      <c r="BZ142" s="2">
        <f>IF(AND(ISNUMBER(D142),ISNUMBER(AT142)), D142*(1-AT142), "")</f>
        <v>0</v>
      </c>
      <c r="CA142">
        <f>AND(BT142=TRUE,BU142=TRUE,BV142=TRUE,BX142=TRUE)</f>
        <v>0</v>
      </c>
    </row>
    <row r="143" spans="1:79" x14ac:dyDescent="0.25">
      <c r="A143" t="s">
        <v>208</v>
      </c>
      <c r="B143">
        <f>HYPERLINK("data/charts/CMI.png", "Open")</f>
        <v>0</v>
      </c>
      <c r="C143" t="s">
        <v>279</v>
      </c>
      <c r="D143">
        <v>399.42</v>
      </c>
      <c r="E143">
        <v>-2.19</v>
      </c>
      <c r="F143">
        <v>53.61</v>
      </c>
      <c r="G143">
        <v>16.76</v>
      </c>
      <c r="H143">
        <v>342.08</v>
      </c>
      <c r="I143">
        <v>0.0432</v>
      </c>
      <c r="J143" t="b">
        <v>1</v>
      </c>
      <c r="K143">
        <v>347.55</v>
      </c>
      <c r="L143">
        <v>375.56</v>
      </c>
      <c r="M143">
        <v>376.66</v>
      </c>
      <c r="N143">
        <v>355.93</v>
      </c>
      <c r="O143" t="b">
        <v>1</v>
      </c>
      <c r="P143" t="b">
        <v>1</v>
      </c>
      <c r="Q143" t="b">
        <v>1</v>
      </c>
      <c r="R143">
        <v>72.40000000000001</v>
      </c>
      <c r="S143" t="b">
        <v>0</v>
      </c>
      <c r="T143" t="b">
        <v>0</v>
      </c>
      <c r="U143">
        <v>15.7666</v>
      </c>
      <c r="V143">
        <v>13.5346</v>
      </c>
      <c r="W143" t="b">
        <v>0</v>
      </c>
      <c r="X143" t="b">
        <v>1</v>
      </c>
      <c r="Y143">
        <v>701300</v>
      </c>
      <c r="Z143">
        <v>1039470</v>
      </c>
      <c r="AA143" t="b">
        <v>0</v>
      </c>
      <c r="AB143">
        <v>375.56</v>
      </c>
      <c r="AC143">
        <v>409.76</v>
      </c>
      <c r="AD143">
        <v>341.36</v>
      </c>
      <c r="AE143">
        <v>0.849</v>
      </c>
      <c r="AF143">
        <v>0.182</v>
      </c>
      <c r="AG143">
        <v>408.38</v>
      </c>
      <c r="AH143">
        <v>344.02</v>
      </c>
      <c r="AI143" t="b">
        <v>0</v>
      </c>
      <c r="AJ143">
        <v>9.214</v>
      </c>
      <c r="AK143">
        <v>385.6</v>
      </c>
      <c r="AL143">
        <v>354.68</v>
      </c>
      <c r="AM143">
        <v>341.36</v>
      </c>
      <c r="AN143">
        <v>355.48</v>
      </c>
      <c r="AO143">
        <v>385.6</v>
      </c>
      <c r="AP143" t="s">
        <v>280</v>
      </c>
      <c r="AQ143">
        <v>355.48</v>
      </c>
      <c r="AR143">
        <v>439.36</v>
      </c>
      <c r="AS143">
        <v>0.05</v>
      </c>
      <c r="AT143">
        <v>0.07000000000000001</v>
      </c>
      <c r="AU143">
        <v>60</v>
      </c>
      <c r="AV143">
        <v>0.908966189506352</v>
      </c>
      <c r="AW143">
        <v>3</v>
      </c>
      <c r="AX143">
        <v>5.5</v>
      </c>
      <c r="AY143">
        <v>22</v>
      </c>
      <c r="AZ143">
        <v>1000</v>
      </c>
      <c r="BA143">
        <v>15000</v>
      </c>
      <c r="BD143">
        <v>18.73</v>
      </c>
      <c r="BE143">
        <v>17.74</v>
      </c>
      <c r="BF143">
        <v>2</v>
      </c>
      <c r="BG143">
        <v>0.34</v>
      </c>
      <c r="BH143">
        <v>0.67</v>
      </c>
      <c r="BI143">
        <v>5.74</v>
      </c>
      <c r="BJ143">
        <v>7.85</v>
      </c>
      <c r="BK143">
        <v>10.3</v>
      </c>
      <c r="BM143">
        <v>0.83</v>
      </c>
      <c r="BN143" t="s">
        <v>286</v>
      </c>
      <c r="BO143" t="b">
        <v>0</v>
      </c>
      <c r="BP143" s="1">
        <f>IFERROR(RANK.EQ(AX143,AX$2:AX$213,0),"")</f>
        <v>0</v>
      </c>
      <c r="BQ143">
        <f>IFERROR(Y143/Z143,"")</f>
        <v>0</v>
      </c>
      <c r="BR143">
        <f>IFERROR(U143-V143,"")</f>
        <v>0</v>
      </c>
      <c r="BS143">
        <f>IFERROR(U143&gt;V143,"")</f>
        <v>0</v>
      </c>
      <c r="BT143">
        <f>IF(AND(ISNUMBER(D143),ISNUMBER(H143),D143&gt;=H143), OR(O143=TRUE,P143=TRUE), FALSE)</f>
        <v>0</v>
      </c>
      <c r="BU143">
        <f>AND(ISNUMBER(R143), R143&gt;=45, R143&lt;=60, W143=TRUE, E143&gt;=-20)</f>
        <v>0</v>
      </c>
      <c r="BV143">
        <f>OR(AI143=TRUE,AA143=TRUE)</f>
        <v>0</v>
      </c>
      <c r="BW143">
        <f>IFERROR( (AR143-D143) / MAX(D143-AQ143,1E-9) ,"")</f>
        <v>0</v>
      </c>
      <c r="BX143">
        <f>IFERROR(BW143&gt;=2, FALSE)</f>
        <v>0</v>
      </c>
      <c r="BY143" s="1">
        <f>IFERROR(ROUNDDOWN(MIN(IF(BA143&gt;0, BA143/D143, 1E99),IF(AZ143&gt;0, AZ143/MAX(D143-AQ143,1E-9), 1E99)),0),"")</f>
        <v>0</v>
      </c>
      <c r="BZ143" s="2">
        <f>IF(AND(ISNUMBER(D143),ISNUMBER(AT143)), D143*(1-AT143), "")</f>
        <v>0</v>
      </c>
      <c r="CA143">
        <f>AND(BT143=TRUE,BU143=TRUE,BV143=TRUE,BX143=TRUE)</f>
        <v>0</v>
      </c>
    </row>
    <row r="144" spans="1:79" x14ac:dyDescent="0.25">
      <c r="A144" t="s">
        <v>209</v>
      </c>
      <c r="B144">
        <f>HYPERLINK("data/charts/NOC.png", "Open")</f>
        <v>0</v>
      </c>
      <c r="C144" t="s">
        <v>279</v>
      </c>
      <c r="D144">
        <v>583.96</v>
      </c>
      <c r="E144">
        <v>-1.8</v>
      </c>
      <c r="F144">
        <v>37</v>
      </c>
      <c r="G144">
        <v>17.49</v>
      </c>
      <c r="H144">
        <v>497.05</v>
      </c>
      <c r="I144">
        <v>0.0043</v>
      </c>
      <c r="J144" t="b">
        <v>1</v>
      </c>
      <c r="K144">
        <v>531.6</v>
      </c>
      <c r="L144">
        <v>575.59</v>
      </c>
      <c r="M144">
        <v>569.45</v>
      </c>
      <c r="N144">
        <v>542.5</v>
      </c>
      <c r="O144" t="b">
        <v>1</v>
      </c>
      <c r="P144" t="b">
        <v>1</v>
      </c>
      <c r="Q144" t="b">
        <v>1</v>
      </c>
      <c r="R144">
        <v>72.53</v>
      </c>
      <c r="S144" t="b">
        <v>0</v>
      </c>
      <c r="T144" t="b">
        <v>0</v>
      </c>
      <c r="U144">
        <v>15.8344</v>
      </c>
      <c r="V144">
        <v>18.1766</v>
      </c>
      <c r="W144" t="b">
        <v>0</v>
      </c>
      <c r="X144" t="b">
        <v>0</v>
      </c>
      <c r="Y144">
        <v>667300</v>
      </c>
      <c r="Z144">
        <v>877955</v>
      </c>
      <c r="AA144" t="b">
        <v>0</v>
      </c>
      <c r="AB144">
        <v>575.59</v>
      </c>
      <c r="AC144">
        <v>607.47</v>
      </c>
      <c r="AD144">
        <v>543.71</v>
      </c>
      <c r="AE144">
        <v>0.631</v>
      </c>
      <c r="AF144">
        <v>0.111</v>
      </c>
      <c r="AG144">
        <v>594.6799999999999</v>
      </c>
      <c r="AH144">
        <v>514.39</v>
      </c>
      <c r="AI144" t="b">
        <v>0</v>
      </c>
      <c r="AJ144">
        <v>7.89</v>
      </c>
      <c r="AK144">
        <v>572.13</v>
      </c>
      <c r="AL144">
        <v>575.45</v>
      </c>
      <c r="AM144">
        <v>543.71</v>
      </c>
      <c r="AN144">
        <v>519.72</v>
      </c>
      <c r="AO144">
        <v>575.45</v>
      </c>
      <c r="AP144" t="s">
        <v>282</v>
      </c>
      <c r="AQ144">
        <v>519.72</v>
      </c>
      <c r="AR144">
        <v>642.36</v>
      </c>
      <c r="AS144">
        <v>0.05</v>
      </c>
      <c r="AT144">
        <v>0.07000000000000001</v>
      </c>
      <c r="AU144">
        <v>60</v>
      </c>
      <c r="AV144">
        <v>0.9090902561054809</v>
      </c>
      <c r="AW144">
        <v>3</v>
      </c>
      <c r="AX144">
        <v>5.5</v>
      </c>
      <c r="AY144">
        <v>15</v>
      </c>
      <c r="AZ144">
        <v>1000</v>
      </c>
      <c r="BA144">
        <v>15000</v>
      </c>
      <c r="BD144">
        <v>21.55</v>
      </c>
      <c r="BE144">
        <v>20.81</v>
      </c>
      <c r="BF144">
        <v>1.58</v>
      </c>
      <c r="BG144">
        <v>0.31</v>
      </c>
      <c r="BH144">
        <v>1.1</v>
      </c>
      <c r="BI144">
        <v>9.33</v>
      </c>
      <c r="BJ144">
        <v>145.35</v>
      </c>
      <c r="BK144">
        <v>11.34</v>
      </c>
      <c r="BM144">
        <v>0.87</v>
      </c>
      <c r="BN144" t="s">
        <v>286</v>
      </c>
      <c r="BO144" t="b">
        <v>0</v>
      </c>
      <c r="BP144" s="1">
        <f>IFERROR(RANK.EQ(AX144,AX$2:AX$213,0),"")</f>
        <v>0</v>
      </c>
      <c r="BQ144">
        <f>IFERROR(Y144/Z144,"")</f>
        <v>0</v>
      </c>
      <c r="BR144">
        <f>IFERROR(U144-V144,"")</f>
        <v>0</v>
      </c>
      <c r="BS144">
        <f>IFERROR(U144&gt;V144,"")</f>
        <v>0</v>
      </c>
      <c r="BT144">
        <f>IF(AND(ISNUMBER(D144),ISNUMBER(H144),D144&gt;=H144), OR(O144=TRUE,P144=TRUE), FALSE)</f>
        <v>0</v>
      </c>
      <c r="BU144">
        <f>AND(ISNUMBER(R144), R144&gt;=45, R144&lt;=60, W144=TRUE, E144&gt;=-20)</f>
        <v>0</v>
      </c>
      <c r="BV144">
        <f>OR(AI144=TRUE,AA144=TRUE)</f>
        <v>0</v>
      </c>
      <c r="BW144">
        <f>IFERROR( (AR144-D144) / MAX(D144-AQ144,1E-9) ,"")</f>
        <v>0</v>
      </c>
      <c r="BX144">
        <f>IFERROR(BW144&gt;=2, FALSE)</f>
        <v>0</v>
      </c>
      <c r="BY144" s="1">
        <f>IFERROR(ROUNDDOWN(MIN(IF(BA144&gt;0, BA144/D144, 1E99),IF(AZ144&gt;0, AZ144/MAX(D144-AQ144,1E-9), 1E99)),0),"")</f>
        <v>0</v>
      </c>
      <c r="BZ144" s="2">
        <f>IF(AND(ISNUMBER(D144),ISNUMBER(AT144)), D144*(1-AT144), "")</f>
        <v>0</v>
      </c>
      <c r="CA144">
        <f>AND(BT144=TRUE,BU144=TRUE,BV144=TRUE,BX144=TRUE)</f>
        <v>0</v>
      </c>
    </row>
    <row r="145" spans="1:79" x14ac:dyDescent="0.25">
      <c r="A145" t="s">
        <v>210</v>
      </c>
      <c r="B145">
        <f>HYPERLINK("data/charts/IGM_TO.png", "Open")</f>
        <v>0</v>
      </c>
      <c r="C145" t="s">
        <v>279</v>
      </c>
      <c r="D145">
        <v>48.32</v>
      </c>
      <c r="E145">
        <v>-0.74</v>
      </c>
      <c r="F145">
        <v>27.83</v>
      </c>
      <c r="G145">
        <v>8.210000000000001</v>
      </c>
      <c r="H145">
        <v>44.66</v>
      </c>
      <c r="I145">
        <v>0.0435</v>
      </c>
      <c r="J145" t="b">
        <v>1</v>
      </c>
      <c r="K145">
        <v>44.49</v>
      </c>
      <c r="L145">
        <v>46.43</v>
      </c>
      <c r="M145">
        <v>46.46</v>
      </c>
      <c r="N145">
        <v>45.19</v>
      </c>
      <c r="O145" t="b">
        <v>1</v>
      </c>
      <c r="P145" t="b">
        <v>1</v>
      </c>
      <c r="Q145" t="b">
        <v>1</v>
      </c>
      <c r="R145">
        <v>73.02</v>
      </c>
      <c r="S145" t="b">
        <v>0</v>
      </c>
      <c r="T145" t="b">
        <v>0</v>
      </c>
      <c r="U145">
        <v>1.1455</v>
      </c>
      <c r="V145">
        <v>0.9686</v>
      </c>
      <c r="W145" t="b">
        <v>0</v>
      </c>
      <c r="X145" t="b">
        <v>0</v>
      </c>
      <c r="Y145">
        <v>132500</v>
      </c>
      <c r="Z145">
        <v>242805</v>
      </c>
      <c r="AA145" t="b">
        <v>0</v>
      </c>
      <c r="AB145">
        <v>46.43</v>
      </c>
      <c r="AC145">
        <v>49.11</v>
      </c>
      <c r="AD145">
        <v>43.76</v>
      </c>
      <c r="AE145">
        <v>0.852</v>
      </c>
      <c r="AF145">
        <v>0.115</v>
      </c>
      <c r="AG145">
        <v>48.68</v>
      </c>
      <c r="AH145">
        <v>43.69</v>
      </c>
      <c r="AI145" t="b">
        <v>0</v>
      </c>
      <c r="AJ145">
        <v>0.823</v>
      </c>
      <c r="AK145">
        <v>47.09</v>
      </c>
      <c r="AL145">
        <v>44.69</v>
      </c>
      <c r="AM145">
        <v>43.76</v>
      </c>
      <c r="AN145">
        <v>43</v>
      </c>
      <c r="AO145">
        <v>47.09</v>
      </c>
      <c r="AP145" t="s">
        <v>280</v>
      </c>
      <c r="AQ145">
        <v>43</v>
      </c>
      <c r="AR145">
        <v>53.15</v>
      </c>
      <c r="AS145">
        <v>0.05</v>
      </c>
      <c r="AT145">
        <v>0.07000000000000001</v>
      </c>
      <c r="AU145">
        <v>60</v>
      </c>
      <c r="AV145">
        <v>0.9078948462863343</v>
      </c>
      <c r="AW145">
        <v>3</v>
      </c>
      <c r="AX145">
        <v>5.5</v>
      </c>
      <c r="AY145">
        <v>187</v>
      </c>
      <c r="AZ145">
        <v>1000</v>
      </c>
      <c r="BA145">
        <v>15000</v>
      </c>
      <c r="BD145">
        <v>11.79</v>
      </c>
      <c r="BE145">
        <v>11.13</v>
      </c>
      <c r="BF145">
        <v>4.66</v>
      </c>
      <c r="BG145">
        <v>0.55</v>
      </c>
      <c r="BH145">
        <v>0.92</v>
      </c>
      <c r="BI145">
        <v>1.08</v>
      </c>
      <c r="BJ145">
        <v>5.05</v>
      </c>
      <c r="BK145">
        <v>26.96</v>
      </c>
      <c r="BM145">
        <v>0.84</v>
      </c>
      <c r="BN145" t="s">
        <v>300</v>
      </c>
      <c r="BO145" t="b">
        <v>0</v>
      </c>
      <c r="BP145" s="1">
        <f>IFERROR(RANK.EQ(AX145,AX$2:AX$213,0),"")</f>
        <v>0</v>
      </c>
      <c r="BQ145">
        <f>IFERROR(Y145/Z145,"")</f>
        <v>0</v>
      </c>
      <c r="BR145">
        <f>IFERROR(U145-V145,"")</f>
        <v>0</v>
      </c>
      <c r="BS145">
        <f>IFERROR(U145&gt;V145,"")</f>
        <v>0</v>
      </c>
      <c r="BT145">
        <f>IF(AND(ISNUMBER(D145),ISNUMBER(H145),D145&gt;=H145), OR(O145=TRUE,P145=TRUE), FALSE)</f>
        <v>0</v>
      </c>
      <c r="BU145">
        <f>AND(ISNUMBER(R145), R145&gt;=45, R145&lt;=60, W145=TRUE, E145&gt;=-20)</f>
        <v>0</v>
      </c>
      <c r="BV145">
        <f>OR(AI145=TRUE,AA145=TRUE)</f>
        <v>0</v>
      </c>
      <c r="BW145">
        <f>IFERROR( (AR145-D145) / MAX(D145-AQ145,1E-9) ,"")</f>
        <v>0</v>
      </c>
      <c r="BX145">
        <f>IFERROR(BW145&gt;=2, FALSE)</f>
        <v>0</v>
      </c>
      <c r="BY145" s="1">
        <f>IFERROR(ROUNDDOWN(MIN(IF(BA145&gt;0, BA145/D145, 1E99),IF(AZ145&gt;0, AZ145/MAX(D145-AQ145,1E-9), 1E99)),0),"")</f>
        <v>0</v>
      </c>
      <c r="BZ145" s="2">
        <f>IF(AND(ISNUMBER(D145),ISNUMBER(AT145)), D145*(1-AT145), "")</f>
        <v>0</v>
      </c>
      <c r="CA145">
        <f>AND(BT145=TRUE,BU145=TRUE,BV145=TRUE,BX145=TRUE)</f>
        <v>0</v>
      </c>
    </row>
    <row r="146" spans="1:79" x14ac:dyDescent="0.25">
      <c r="A146" t="s">
        <v>211</v>
      </c>
      <c r="B146">
        <f>HYPERLINK("data/charts/HLT.png", "Open")</f>
        <v>0</v>
      </c>
      <c r="C146" t="s">
        <v>279</v>
      </c>
      <c r="D146">
        <v>267.73</v>
      </c>
      <c r="E146">
        <v>-4.2</v>
      </c>
      <c r="F146">
        <v>36.57</v>
      </c>
      <c r="G146">
        <v>7.52</v>
      </c>
      <c r="H146">
        <v>249</v>
      </c>
      <c r="I146">
        <v>0.0827</v>
      </c>
      <c r="J146" t="b">
        <v>1</v>
      </c>
      <c r="K146">
        <v>263.96</v>
      </c>
      <c r="L146">
        <v>267.3</v>
      </c>
      <c r="M146">
        <v>266.89</v>
      </c>
      <c r="N146">
        <v>262.85</v>
      </c>
      <c r="O146" t="b">
        <v>1</v>
      </c>
      <c r="P146" t="b">
        <v>1</v>
      </c>
      <c r="Q146" t="b">
        <v>1</v>
      </c>
      <c r="R146">
        <v>51.77</v>
      </c>
      <c r="S146" t="b">
        <v>0</v>
      </c>
      <c r="T146" t="b">
        <v>0</v>
      </c>
      <c r="U146">
        <v>0.4478</v>
      </c>
      <c r="V146">
        <v>0.3662</v>
      </c>
      <c r="W146" t="b">
        <v>1</v>
      </c>
      <c r="X146" t="b">
        <v>1</v>
      </c>
      <c r="Y146">
        <v>1699100</v>
      </c>
      <c r="Z146">
        <v>1836395</v>
      </c>
      <c r="AA146" t="b">
        <v>0</v>
      </c>
      <c r="AB146">
        <v>267.3</v>
      </c>
      <c r="AC146">
        <v>277.11</v>
      </c>
      <c r="AD146">
        <v>257.5</v>
      </c>
      <c r="AE146">
        <v>0.522</v>
      </c>
      <c r="AF146">
        <v>0.073</v>
      </c>
      <c r="AG146">
        <v>275.98</v>
      </c>
      <c r="AH146">
        <v>257.5</v>
      </c>
      <c r="AI146" t="b">
        <v>0</v>
      </c>
      <c r="AJ146">
        <v>4.766</v>
      </c>
      <c r="AK146">
        <v>260.58</v>
      </c>
      <c r="AL146">
        <v>257.5</v>
      </c>
      <c r="AM146">
        <v>257.5</v>
      </c>
      <c r="AN146">
        <v>238.28</v>
      </c>
      <c r="AO146">
        <v>260.58</v>
      </c>
      <c r="AP146" t="s">
        <v>280</v>
      </c>
      <c r="AQ146">
        <v>238.28</v>
      </c>
      <c r="AR146">
        <v>294.5</v>
      </c>
      <c r="AS146">
        <v>0.05</v>
      </c>
      <c r="AT146">
        <v>0.07000000000000001</v>
      </c>
      <c r="AU146">
        <v>60</v>
      </c>
      <c r="AV146">
        <v>0.9089975900552152</v>
      </c>
      <c r="AW146">
        <v>4</v>
      </c>
      <c r="AX146">
        <v>5.25</v>
      </c>
      <c r="AY146">
        <v>33</v>
      </c>
      <c r="AZ146">
        <v>1000</v>
      </c>
      <c r="BA146">
        <v>15000</v>
      </c>
      <c r="BD146">
        <v>41.13</v>
      </c>
      <c r="BE146">
        <v>33.51</v>
      </c>
      <c r="BF146">
        <v>22</v>
      </c>
      <c r="BG146">
        <v>0.09</v>
      </c>
      <c r="BH146">
        <v>-2.57</v>
      </c>
      <c r="BI146">
        <v>16.4</v>
      </c>
      <c r="BJ146">
        <v>48</v>
      </c>
      <c r="BK146">
        <v>14.03</v>
      </c>
      <c r="BM146">
        <v>9.140000000000001</v>
      </c>
      <c r="BN146" t="s">
        <v>285</v>
      </c>
      <c r="BO146" t="b">
        <v>0</v>
      </c>
      <c r="BP146" s="1">
        <f>IFERROR(RANK.EQ(AX146,AX$2:AX$213,0),"")</f>
        <v>0</v>
      </c>
      <c r="BQ146">
        <f>IFERROR(Y146/Z146,"")</f>
        <v>0</v>
      </c>
      <c r="BR146">
        <f>IFERROR(U146-V146,"")</f>
        <v>0</v>
      </c>
      <c r="BS146">
        <f>IFERROR(U146&gt;V146,"")</f>
        <v>0</v>
      </c>
      <c r="BT146">
        <f>IF(AND(ISNUMBER(D146),ISNUMBER(H146),D146&gt;=H146), OR(O146=TRUE,P146=TRUE), FALSE)</f>
        <v>0</v>
      </c>
      <c r="BU146">
        <f>AND(ISNUMBER(R146), R146&gt;=45, R146&lt;=60, W146=TRUE, E146&gt;=-20)</f>
        <v>0</v>
      </c>
      <c r="BV146">
        <f>OR(AI146=TRUE,AA146=TRUE)</f>
        <v>0</v>
      </c>
      <c r="BW146">
        <f>IFERROR( (AR146-D146) / MAX(D146-AQ146,1E-9) ,"")</f>
        <v>0</v>
      </c>
      <c r="BX146">
        <f>IFERROR(BW146&gt;=2, FALSE)</f>
        <v>0</v>
      </c>
      <c r="BY146" s="1">
        <f>IFERROR(ROUNDDOWN(MIN(IF(BA146&gt;0, BA146/D146, 1E99),IF(AZ146&gt;0, AZ146/MAX(D146-AQ146,1E-9), 1E99)),0),"")</f>
        <v>0</v>
      </c>
      <c r="BZ146" s="2">
        <f>IF(AND(ISNUMBER(D146),ISNUMBER(AT146)), D146*(1-AT146), "")</f>
        <v>0</v>
      </c>
      <c r="CA146">
        <f>AND(BT146=TRUE,BU146=TRUE,BV146=TRUE,BX146=TRUE)</f>
        <v>0</v>
      </c>
    </row>
    <row r="147" spans="1:79" x14ac:dyDescent="0.25">
      <c r="A147" t="s">
        <v>212</v>
      </c>
      <c r="B147">
        <f>HYPERLINK("data/charts/ELV.png", "Open")</f>
        <v>0</v>
      </c>
      <c r="C147" t="s">
        <v>279</v>
      </c>
      <c r="D147">
        <v>309.57</v>
      </c>
      <c r="E147">
        <v>-45.43</v>
      </c>
      <c r="F147">
        <v>13.1</v>
      </c>
      <c r="G147">
        <v>-19.62</v>
      </c>
      <c r="H147">
        <v>385.12</v>
      </c>
      <c r="I147">
        <v>-0.2494</v>
      </c>
      <c r="J147" t="b">
        <v>0</v>
      </c>
      <c r="K147">
        <v>332.67</v>
      </c>
      <c r="L147">
        <v>286.91</v>
      </c>
      <c r="M147">
        <v>298.12</v>
      </c>
      <c r="N147">
        <v>324.51</v>
      </c>
      <c r="O147" t="b">
        <v>1</v>
      </c>
      <c r="P147" t="b">
        <v>0</v>
      </c>
      <c r="Q147" t="b">
        <v>1</v>
      </c>
      <c r="R147">
        <v>53.6</v>
      </c>
      <c r="S147" t="b">
        <v>0</v>
      </c>
      <c r="T147" t="b">
        <v>0</v>
      </c>
      <c r="U147">
        <v>-9.2308</v>
      </c>
      <c r="V147">
        <v>-14.9904</v>
      </c>
      <c r="W147" t="b">
        <v>0</v>
      </c>
      <c r="X147" t="b">
        <v>1</v>
      </c>
      <c r="Y147">
        <v>3414800</v>
      </c>
      <c r="Z147">
        <v>2818270</v>
      </c>
      <c r="AA147" t="b">
        <v>0</v>
      </c>
      <c r="AB147">
        <v>286.91</v>
      </c>
      <c r="AC147">
        <v>304.83</v>
      </c>
      <c r="AD147">
        <v>268.98</v>
      </c>
      <c r="AE147">
        <v>1.132</v>
      </c>
      <c r="AF147">
        <v>0.125</v>
      </c>
      <c r="AG147">
        <v>312</v>
      </c>
      <c r="AH147">
        <v>273.71</v>
      </c>
      <c r="AI147" t="b">
        <v>1</v>
      </c>
      <c r="AJ147">
        <v>8.683999999999999</v>
      </c>
      <c r="AK147">
        <v>296.54</v>
      </c>
      <c r="AL147">
        <v>273.71</v>
      </c>
      <c r="AM147">
        <v>268.98</v>
      </c>
      <c r="AN147">
        <v>275.52</v>
      </c>
      <c r="AO147">
        <v>296.54</v>
      </c>
      <c r="AP147" t="s">
        <v>280</v>
      </c>
      <c r="AQ147">
        <v>275.52</v>
      </c>
      <c r="AR147">
        <v>340.53</v>
      </c>
      <c r="AS147">
        <v>0.05</v>
      </c>
      <c r="AT147">
        <v>0.07000000000000001</v>
      </c>
      <c r="AU147">
        <v>60</v>
      </c>
      <c r="AV147">
        <v>0.9092506906381864</v>
      </c>
      <c r="AW147">
        <v>4</v>
      </c>
      <c r="AX147">
        <v>5.25</v>
      </c>
      <c r="AY147">
        <v>29</v>
      </c>
      <c r="AZ147">
        <v>1000</v>
      </c>
      <c r="BA147">
        <v>15000</v>
      </c>
      <c r="BD147">
        <v>13.14</v>
      </c>
      <c r="BE147">
        <v>8.859999999999999</v>
      </c>
      <c r="BF147">
        <v>2.21</v>
      </c>
      <c r="BG147">
        <v>0.28</v>
      </c>
      <c r="BH147">
        <v>0.6899999999999999</v>
      </c>
      <c r="BI147">
        <v>1.81</v>
      </c>
      <c r="BJ147">
        <v>-19.71</v>
      </c>
      <c r="BK147">
        <v>3.5</v>
      </c>
      <c r="BM147">
        <v>-0.54</v>
      </c>
      <c r="BN147" t="s">
        <v>283</v>
      </c>
      <c r="BO147" t="b">
        <v>0</v>
      </c>
      <c r="BP147" s="1">
        <f>IFERROR(RANK.EQ(AX147,AX$2:AX$213,0),"")</f>
        <v>0</v>
      </c>
      <c r="BQ147">
        <f>IFERROR(Y147/Z147,"")</f>
        <v>0</v>
      </c>
      <c r="BR147">
        <f>IFERROR(U147-V147,"")</f>
        <v>0</v>
      </c>
      <c r="BS147">
        <f>IFERROR(U147&gt;V147,"")</f>
        <v>0</v>
      </c>
      <c r="BT147">
        <f>IF(AND(ISNUMBER(D147),ISNUMBER(H147),D147&gt;=H147), OR(O147=TRUE,P147=TRUE), FALSE)</f>
        <v>0</v>
      </c>
      <c r="BU147">
        <f>AND(ISNUMBER(R147), R147&gt;=45, R147&lt;=60, W147=TRUE, E147&gt;=-20)</f>
        <v>0</v>
      </c>
      <c r="BV147">
        <f>OR(AI147=TRUE,AA147=TRUE)</f>
        <v>0</v>
      </c>
      <c r="BW147">
        <f>IFERROR( (AR147-D147) / MAX(D147-AQ147,1E-9) ,"")</f>
        <v>0</v>
      </c>
      <c r="BX147">
        <f>IFERROR(BW147&gt;=2, FALSE)</f>
        <v>0</v>
      </c>
      <c r="BY147" s="1">
        <f>IFERROR(ROUNDDOWN(MIN(IF(BA147&gt;0, BA147/D147, 1E99),IF(AZ147&gt;0, AZ147/MAX(D147-AQ147,1E-9), 1E99)),0),"")</f>
        <v>0</v>
      </c>
      <c r="BZ147" s="2">
        <f>IF(AND(ISNUMBER(D147),ISNUMBER(AT147)), D147*(1-AT147), "")</f>
        <v>0</v>
      </c>
      <c r="CA147">
        <f>AND(BT147=TRUE,BU147=TRUE,BV147=TRUE,BX147=TRUE)</f>
        <v>0</v>
      </c>
    </row>
    <row r="148" spans="1:79" x14ac:dyDescent="0.25">
      <c r="A148" t="s">
        <v>213</v>
      </c>
      <c r="B148">
        <f>HYPERLINK("data/charts/OXY.png", "Open")</f>
        <v>0</v>
      </c>
      <c r="C148" t="s">
        <v>279</v>
      </c>
      <c r="D148">
        <v>44.61</v>
      </c>
      <c r="E148">
        <v>-23.7</v>
      </c>
      <c r="F148">
        <v>28.26</v>
      </c>
      <c r="G148">
        <v>-3.03</v>
      </c>
      <c r="H148">
        <v>46</v>
      </c>
      <c r="I148">
        <v>-0.0973</v>
      </c>
      <c r="J148" t="b">
        <v>0</v>
      </c>
      <c r="K148">
        <v>44.06</v>
      </c>
      <c r="L148">
        <v>44.07</v>
      </c>
      <c r="M148">
        <v>44.08</v>
      </c>
      <c r="N148">
        <v>43.85</v>
      </c>
      <c r="O148" t="b">
        <v>1</v>
      </c>
      <c r="P148" t="b">
        <v>1</v>
      </c>
      <c r="Q148" t="b">
        <v>1</v>
      </c>
      <c r="R148">
        <v>54.07</v>
      </c>
      <c r="S148" t="b">
        <v>0</v>
      </c>
      <c r="T148" t="b">
        <v>0</v>
      </c>
      <c r="U148">
        <v>0.1315</v>
      </c>
      <c r="V148">
        <v>0.0418</v>
      </c>
      <c r="W148" t="b">
        <v>1</v>
      </c>
      <c r="X148" t="b">
        <v>0</v>
      </c>
      <c r="Y148">
        <v>8757200</v>
      </c>
      <c r="Z148">
        <v>9781655</v>
      </c>
      <c r="AA148" t="b">
        <v>0</v>
      </c>
      <c r="AB148">
        <v>44.07</v>
      </c>
      <c r="AC148">
        <v>45.71</v>
      </c>
      <c r="AD148">
        <v>42.44</v>
      </c>
      <c r="AE148">
        <v>0.663</v>
      </c>
      <c r="AF148">
        <v>0.074</v>
      </c>
      <c r="AG148">
        <v>45.64</v>
      </c>
      <c r="AH148">
        <v>42.32</v>
      </c>
      <c r="AI148" t="b">
        <v>0</v>
      </c>
      <c r="AJ148">
        <v>1.062</v>
      </c>
      <c r="AK148">
        <v>43.02</v>
      </c>
      <c r="AL148">
        <v>42.32</v>
      </c>
      <c r="AM148">
        <v>42.44</v>
      </c>
      <c r="AN148">
        <v>39.7</v>
      </c>
      <c r="AO148">
        <v>43.02</v>
      </c>
      <c r="AP148" t="s">
        <v>280</v>
      </c>
      <c r="AQ148">
        <v>39.7</v>
      </c>
      <c r="AR148">
        <v>49.07</v>
      </c>
      <c r="AS148">
        <v>0.05</v>
      </c>
      <c r="AT148">
        <v>0.07000000000000001</v>
      </c>
      <c r="AU148">
        <v>60</v>
      </c>
      <c r="AV148">
        <v>0.9083500682760808</v>
      </c>
      <c r="AW148">
        <v>4</v>
      </c>
      <c r="AX148">
        <v>5.25</v>
      </c>
      <c r="AY148">
        <v>203</v>
      </c>
      <c r="AZ148">
        <v>1000</v>
      </c>
      <c r="BA148">
        <v>15000</v>
      </c>
      <c r="BD148">
        <v>26.24</v>
      </c>
      <c r="BE148">
        <v>14.12</v>
      </c>
      <c r="BF148">
        <v>2.15</v>
      </c>
      <c r="BG148">
        <v>0.54</v>
      </c>
      <c r="BH148">
        <v>0.67</v>
      </c>
      <c r="BI148">
        <v>-5.72</v>
      </c>
      <c r="BJ148">
        <v>-66.67</v>
      </c>
      <c r="BK148">
        <v>7.14</v>
      </c>
      <c r="BM148">
        <v>-0.43</v>
      </c>
      <c r="BN148" t="s">
        <v>288</v>
      </c>
      <c r="BO148" t="b">
        <v>0</v>
      </c>
      <c r="BP148" s="1">
        <f>IFERROR(RANK.EQ(AX148,AX$2:AX$213,0),"")</f>
        <v>0</v>
      </c>
      <c r="BQ148">
        <f>IFERROR(Y148/Z148,"")</f>
        <v>0</v>
      </c>
      <c r="BR148">
        <f>IFERROR(U148-V148,"")</f>
        <v>0</v>
      </c>
      <c r="BS148">
        <f>IFERROR(U148&gt;V148,"")</f>
        <v>0</v>
      </c>
      <c r="BT148">
        <f>IF(AND(ISNUMBER(D148),ISNUMBER(H148),D148&gt;=H148), OR(O148=TRUE,P148=TRUE), FALSE)</f>
        <v>0</v>
      </c>
      <c r="BU148">
        <f>AND(ISNUMBER(R148), R148&gt;=45, R148&lt;=60, W148=TRUE, E148&gt;=-20)</f>
        <v>0</v>
      </c>
      <c r="BV148">
        <f>OR(AI148=TRUE,AA148=TRUE)</f>
        <v>0</v>
      </c>
      <c r="BW148">
        <f>IFERROR( (AR148-D148) / MAX(D148-AQ148,1E-9) ,"")</f>
        <v>0</v>
      </c>
      <c r="BX148">
        <f>IFERROR(BW148&gt;=2, FALSE)</f>
        <v>0</v>
      </c>
      <c r="BY148" s="1">
        <f>IFERROR(ROUNDDOWN(MIN(IF(BA148&gt;0, BA148/D148, 1E99),IF(AZ148&gt;0, AZ148/MAX(D148-AQ148,1E-9), 1E99)),0),"")</f>
        <v>0</v>
      </c>
      <c r="BZ148" s="2">
        <f>IF(AND(ISNUMBER(D148),ISNUMBER(AT148)), D148*(1-AT148), "")</f>
        <v>0</v>
      </c>
      <c r="CA148">
        <f>AND(BT148=TRUE,BU148=TRUE,BV148=TRUE,BX148=TRUE)</f>
        <v>0</v>
      </c>
    </row>
    <row r="149" spans="1:79" x14ac:dyDescent="0.25">
      <c r="A149" t="s">
        <v>214</v>
      </c>
      <c r="B149">
        <f>HYPERLINK("data/charts/CJT_TO.png", "Open")</f>
        <v>0</v>
      </c>
      <c r="C149" t="s">
        <v>279</v>
      </c>
      <c r="D149">
        <v>102.71</v>
      </c>
      <c r="E149">
        <v>-29.15</v>
      </c>
      <c r="F149">
        <v>47.57</v>
      </c>
      <c r="G149">
        <v>0.17</v>
      </c>
      <c r="H149">
        <v>102.54</v>
      </c>
      <c r="I149">
        <v>-0.1584</v>
      </c>
      <c r="J149" t="b">
        <v>0</v>
      </c>
      <c r="K149">
        <v>99.66</v>
      </c>
      <c r="L149">
        <v>101.29</v>
      </c>
      <c r="M149">
        <v>101.43</v>
      </c>
      <c r="N149">
        <v>99.39</v>
      </c>
      <c r="O149" t="b">
        <v>1</v>
      </c>
      <c r="P149" t="b">
        <v>1</v>
      </c>
      <c r="Q149" t="b">
        <v>1</v>
      </c>
      <c r="R149">
        <v>54.15</v>
      </c>
      <c r="S149" t="b">
        <v>0</v>
      </c>
      <c r="T149" t="b">
        <v>0</v>
      </c>
      <c r="U149">
        <v>0.7639</v>
      </c>
      <c r="V149">
        <v>0.5245</v>
      </c>
      <c r="W149" t="b">
        <v>1</v>
      </c>
      <c r="X149" t="b">
        <v>1</v>
      </c>
      <c r="Y149">
        <v>28600</v>
      </c>
      <c r="Z149">
        <v>63675</v>
      </c>
      <c r="AA149" t="b">
        <v>0</v>
      </c>
      <c r="AB149">
        <v>101.29</v>
      </c>
      <c r="AC149">
        <v>105.65</v>
      </c>
      <c r="AD149">
        <v>96.94</v>
      </c>
      <c r="AE149">
        <v>0.662</v>
      </c>
      <c r="AF149">
        <v>0.08599999999999999</v>
      </c>
      <c r="AG149">
        <v>105.6</v>
      </c>
      <c r="AH149">
        <v>93.02</v>
      </c>
      <c r="AI149" t="b">
        <v>0</v>
      </c>
      <c r="AJ149">
        <v>2.944</v>
      </c>
      <c r="AK149">
        <v>98.29000000000001</v>
      </c>
      <c r="AL149">
        <v>93.02</v>
      </c>
      <c r="AM149">
        <v>96.94</v>
      </c>
      <c r="AN149">
        <v>91.41</v>
      </c>
      <c r="AO149">
        <v>98.29000000000001</v>
      </c>
      <c r="AP149" t="s">
        <v>280</v>
      </c>
      <c r="AQ149">
        <v>91.41</v>
      </c>
      <c r="AR149">
        <v>112.98</v>
      </c>
      <c r="AS149">
        <v>0.05</v>
      </c>
      <c r="AT149">
        <v>0.07000000000000001</v>
      </c>
      <c r="AU149">
        <v>60</v>
      </c>
      <c r="AV149">
        <v>0.9088497121773547</v>
      </c>
      <c r="AW149">
        <v>4</v>
      </c>
      <c r="AX149">
        <v>5.25</v>
      </c>
      <c r="AY149">
        <v>88</v>
      </c>
      <c r="AZ149">
        <v>1000</v>
      </c>
      <c r="BA149">
        <v>15000</v>
      </c>
      <c r="BD149">
        <v>11.39</v>
      </c>
      <c r="BE149">
        <v>16.78</v>
      </c>
      <c r="BF149">
        <v>1.36</v>
      </c>
      <c r="BG149">
        <v>0.16</v>
      </c>
      <c r="BH149">
        <v>1.31</v>
      </c>
      <c r="BI149">
        <v>-4.68</v>
      </c>
      <c r="BJ149">
        <v>-106.84</v>
      </c>
      <c r="BK149">
        <v>-1.34</v>
      </c>
      <c r="BM149">
        <v>-0.11</v>
      </c>
      <c r="BN149" t="s">
        <v>288</v>
      </c>
      <c r="BO149" t="b">
        <v>0</v>
      </c>
      <c r="BP149" s="1">
        <f>IFERROR(RANK.EQ(AX149,AX$2:AX$213,0),"")</f>
        <v>0</v>
      </c>
      <c r="BQ149">
        <f>IFERROR(Y149/Z149,"")</f>
        <v>0</v>
      </c>
      <c r="BR149">
        <f>IFERROR(U149-V149,"")</f>
        <v>0</v>
      </c>
      <c r="BS149">
        <f>IFERROR(U149&gt;V149,"")</f>
        <v>0</v>
      </c>
      <c r="BT149">
        <f>IF(AND(ISNUMBER(D149),ISNUMBER(H149),D149&gt;=H149), OR(O149=TRUE,P149=TRUE), FALSE)</f>
        <v>0</v>
      </c>
      <c r="BU149">
        <f>AND(ISNUMBER(R149), R149&gt;=45, R149&lt;=60, W149=TRUE, E149&gt;=-20)</f>
        <v>0</v>
      </c>
      <c r="BV149">
        <f>OR(AI149=TRUE,AA149=TRUE)</f>
        <v>0</v>
      </c>
      <c r="BW149">
        <f>IFERROR( (AR149-D149) / MAX(D149-AQ149,1E-9) ,"")</f>
        <v>0</v>
      </c>
      <c r="BX149">
        <f>IFERROR(BW149&gt;=2, FALSE)</f>
        <v>0</v>
      </c>
      <c r="BY149" s="1">
        <f>IFERROR(ROUNDDOWN(MIN(IF(BA149&gt;0, BA149/D149, 1E99),IF(AZ149&gt;0, AZ149/MAX(D149-AQ149,1E-9), 1E99)),0),"")</f>
        <v>0</v>
      </c>
      <c r="BZ149" s="2">
        <f>IF(AND(ISNUMBER(D149),ISNUMBER(AT149)), D149*(1-AT149), "")</f>
        <v>0</v>
      </c>
      <c r="CA149">
        <f>AND(BT149=TRUE,BU149=TRUE,BV149=TRUE,BX149=TRUE)</f>
        <v>0</v>
      </c>
    </row>
    <row r="150" spans="1:79" x14ac:dyDescent="0.25">
      <c r="A150" t="s">
        <v>215</v>
      </c>
      <c r="B150">
        <f>HYPERLINK("data/charts/SES_TO.png", "Open")</f>
        <v>0</v>
      </c>
      <c r="C150" t="s">
        <v>279</v>
      </c>
      <c r="D150">
        <v>16.26</v>
      </c>
      <c r="E150">
        <v>-5.63</v>
      </c>
      <c r="F150">
        <v>46.09</v>
      </c>
      <c r="G150">
        <v>6.96</v>
      </c>
      <c r="H150">
        <v>15.2</v>
      </c>
      <c r="I150">
        <v>0.1093</v>
      </c>
      <c r="J150" t="b">
        <v>1</v>
      </c>
      <c r="K150">
        <v>15.76</v>
      </c>
      <c r="L150">
        <v>16.08</v>
      </c>
      <c r="M150">
        <v>16.01</v>
      </c>
      <c r="N150">
        <v>15.67</v>
      </c>
      <c r="O150" t="b">
        <v>1</v>
      </c>
      <c r="P150" t="b">
        <v>1</v>
      </c>
      <c r="Q150" t="b">
        <v>1</v>
      </c>
      <c r="R150">
        <v>56.05</v>
      </c>
      <c r="S150" t="b">
        <v>0</v>
      </c>
      <c r="T150" t="b">
        <v>0</v>
      </c>
      <c r="U150">
        <v>0.1439</v>
      </c>
      <c r="V150">
        <v>0.1047</v>
      </c>
      <c r="W150" t="b">
        <v>1</v>
      </c>
      <c r="X150" t="b">
        <v>0</v>
      </c>
      <c r="Y150">
        <v>419000</v>
      </c>
      <c r="Z150">
        <v>891920</v>
      </c>
      <c r="AA150" t="b">
        <v>0</v>
      </c>
      <c r="AB150">
        <v>16.08</v>
      </c>
      <c r="AC150">
        <v>17.12</v>
      </c>
      <c r="AD150">
        <v>15.04</v>
      </c>
      <c r="AE150">
        <v>0.585</v>
      </c>
      <c r="AF150">
        <v>0.129</v>
      </c>
      <c r="AG150">
        <v>17.23</v>
      </c>
      <c r="AH150">
        <v>15.03</v>
      </c>
      <c r="AI150" t="b">
        <v>0</v>
      </c>
      <c r="AJ150">
        <v>0.443</v>
      </c>
      <c r="AK150">
        <v>15.6</v>
      </c>
      <c r="AL150">
        <v>15.03</v>
      </c>
      <c r="AM150">
        <v>15.04</v>
      </c>
      <c r="AN150">
        <v>14.47</v>
      </c>
      <c r="AO150">
        <v>15.6</v>
      </c>
      <c r="AP150" t="s">
        <v>280</v>
      </c>
      <c r="AQ150">
        <v>14.47</v>
      </c>
      <c r="AR150">
        <v>17.89</v>
      </c>
      <c r="AS150">
        <v>0.05</v>
      </c>
      <c r="AT150">
        <v>0.07000000000000001</v>
      </c>
      <c r="AU150">
        <v>60</v>
      </c>
      <c r="AV150">
        <v>0.9106142808352496</v>
      </c>
      <c r="AW150">
        <v>4</v>
      </c>
      <c r="AX150">
        <v>5.25</v>
      </c>
      <c r="AY150">
        <v>558</v>
      </c>
      <c r="AZ150">
        <v>1000</v>
      </c>
      <c r="BA150">
        <v>15000</v>
      </c>
      <c r="BD150">
        <v>17.87</v>
      </c>
      <c r="BE150">
        <v>16.59</v>
      </c>
      <c r="BF150">
        <v>2.46</v>
      </c>
      <c r="BG150">
        <v>0.44</v>
      </c>
      <c r="BH150">
        <v>1.23</v>
      </c>
      <c r="BI150">
        <v>-8.52</v>
      </c>
      <c r="BJ150">
        <v>-12.5</v>
      </c>
      <c r="BK150">
        <v>1.26</v>
      </c>
      <c r="BM150">
        <v>-5.76</v>
      </c>
      <c r="BN150" t="s">
        <v>288</v>
      </c>
      <c r="BO150" t="b">
        <v>0</v>
      </c>
      <c r="BP150" s="1">
        <f>IFERROR(RANK.EQ(AX150,AX$2:AX$213,0),"")</f>
        <v>0</v>
      </c>
      <c r="BQ150">
        <f>IFERROR(Y150/Z150,"")</f>
        <v>0</v>
      </c>
      <c r="BR150">
        <f>IFERROR(U150-V150,"")</f>
        <v>0</v>
      </c>
      <c r="BS150">
        <f>IFERROR(U150&gt;V150,"")</f>
        <v>0</v>
      </c>
      <c r="BT150">
        <f>IF(AND(ISNUMBER(D150),ISNUMBER(H150),D150&gt;=H150), OR(O150=TRUE,P150=TRUE), FALSE)</f>
        <v>0</v>
      </c>
      <c r="BU150">
        <f>AND(ISNUMBER(R150), R150&gt;=45, R150&lt;=60, W150=TRUE, E150&gt;=-20)</f>
        <v>0</v>
      </c>
      <c r="BV150">
        <f>OR(AI150=TRUE,AA150=TRUE)</f>
        <v>0</v>
      </c>
      <c r="BW150">
        <f>IFERROR( (AR150-D150) / MAX(D150-AQ150,1E-9) ,"")</f>
        <v>0</v>
      </c>
      <c r="BX150">
        <f>IFERROR(BW150&gt;=2, FALSE)</f>
        <v>0</v>
      </c>
      <c r="BY150" s="1">
        <f>IFERROR(ROUNDDOWN(MIN(IF(BA150&gt;0, BA150/D150, 1E99),IF(AZ150&gt;0, AZ150/MAX(D150-AQ150,1E-9), 1E99)),0),"")</f>
        <v>0</v>
      </c>
      <c r="BZ150" s="2">
        <f>IF(AND(ISNUMBER(D150),ISNUMBER(AT150)), D150*(1-AT150), "")</f>
        <v>0</v>
      </c>
      <c r="CA150">
        <f>AND(BT150=TRUE,BU150=TRUE,BV150=TRUE,BX150=TRUE)</f>
        <v>0</v>
      </c>
    </row>
    <row r="151" spans="1:79" x14ac:dyDescent="0.25">
      <c r="A151" t="s">
        <v>216</v>
      </c>
      <c r="B151">
        <f>HYPERLINK("data/charts/UBER.png", "Open")</f>
        <v>0</v>
      </c>
      <c r="C151" t="s">
        <v>279</v>
      </c>
      <c r="D151">
        <v>92.59999999999999</v>
      </c>
      <c r="E151">
        <v>-5.23</v>
      </c>
      <c r="F151">
        <v>56.08</v>
      </c>
      <c r="G151">
        <v>19.3</v>
      </c>
      <c r="H151">
        <v>77.62</v>
      </c>
      <c r="I151">
        <v>0.1048</v>
      </c>
      <c r="J151" t="b">
        <v>1</v>
      </c>
      <c r="K151">
        <v>90.05</v>
      </c>
      <c r="L151">
        <v>90.06999999999999</v>
      </c>
      <c r="M151">
        <v>90.59</v>
      </c>
      <c r="N151">
        <v>89.31999999999999</v>
      </c>
      <c r="O151" t="b">
        <v>1</v>
      </c>
      <c r="P151" t="b">
        <v>1</v>
      </c>
      <c r="Q151" t="b">
        <v>1</v>
      </c>
      <c r="R151">
        <v>56.66</v>
      </c>
      <c r="S151" t="b">
        <v>0</v>
      </c>
      <c r="T151" t="b">
        <v>0</v>
      </c>
      <c r="U151">
        <v>0.2963</v>
      </c>
      <c r="V151">
        <v>0.0076</v>
      </c>
      <c r="W151" t="b">
        <v>1</v>
      </c>
      <c r="X151" t="b">
        <v>1</v>
      </c>
      <c r="Y151">
        <v>15837500</v>
      </c>
      <c r="Z151">
        <v>18901890</v>
      </c>
      <c r="AA151" t="b">
        <v>0</v>
      </c>
      <c r="AB151">
        <v>90.06999999999999</v>
      </c>
      <c r="AC151">
        <v>93.52</v>
      </c>
      <c r="AD151">
        <v>86.63</v>
      </c>
      <c r="AE151">
        <v>0.867</v>
      </c>
      <c r="AF151">
        <v>0.076</v>
      </c>
      <c r="AG151">
        <v>94.31</v>
      </c>
      <c r="AH151">
        <v>85.42</v>
      </c>
      <c r="AI151" t="b">
        <v>0</v>
      </c>
      <c r="AJ151">
        <v>2.585</v>
      </c>
      <c r="AK151">
        <v>88.72</v>
      </c>
      <c r="AL151">
        <v>86.3</v>
      </c>
      <c r="AM151">
        <v>86.63</v>
      </c>
      <c r="AN151">
        <v>82.41</v>
      </c>
      <c r="AO151">
        <v>88.72</v>
      </c>
      <c r="AP151" t="s">
        <v>280</v>
      </c>
      <c r="AQ151">
        <v>82.41</v>
      </c>
      <c r="AR151">
        <v>101.86</v>
      </c>
      <c r="AS151">
        <v>0.05</v>
      </c>
      <c r="AT151">
        <v>0.07000000000000001</v>
      </c>
      <c r="AU151">
        <v>60</v>
      </c>
      <c r="AV151">
        <v>0.9087343388123122</v>
      </c>
      <c r="AW151">
        <v>4</v>
      </c>
      <c r="AX151">
        <v>5.25</v>
      </c>
      <c r="AY151">
        <v>98</v>
      </c>
      <c r="AZ151">
        <v>1000</v>
      </c>
      <c r="BA151">
        <v>15000</v>
      </c>
      <c r="BD151">
        <v>15.78</v>
      </c>
      <c r="BE151">
        <v>39.24</v>
      </c>
      <c r="BG151">
        <v>0</v>
      </c>
      <c r="BH151">
        <v>0.52</v>
      </c>
      <c r="BI151">
        <v>9.69</v>
      </c>
      <c r="BJ151">
        <v>-23.53</v>
      </c>
      <c r="BK151">
        <v>10.71</v>
      </c>
      <c r="BM151">
        <v>0.47</v>
      </c>
      <c r="BN151" t="s">
        <v>311</v>
      </c>
      <c r="BO151" t="b">
        <v>0</v>
      </c>
      <c r="BP151" s="1">
        <f>IFERROR(RANK.EQ(AX151,AX$2:AX$213,0),"")</f>
        <v>0</v>
      </c>
      <c r="BQ151">
        <f>IFERROR(Y151/Z151,"")</f>
        <v>0</v>
      </c>
      <c r="BR151">
        <f>IFERROR(U151-V151,"")</f>
        <v>0</v>
      </c>
      <c r="BS151">
        <f>IFERROR(U151&gt;V151,"")</f>
        <v>0</v>
      </c>
      <c r="BT151">
        <f>IF(AND(ISNUMBER(D151),ISNUMBER(H151),D151&gt;=H151), OR(O151=TRUE,P151=TRUE), FALSE)</f>
        <v>0</v>
      </c>
      <c r="BU151">
        <f>AND(ISNUMBER(R151), R151&gt;=45, R151&lt;=60, W151=TRUE, E151&gt;=-20)</f>
        <v>0</v>
      </c>
      <c r="BV151">
        <f>OR(AI151=TRUE,AA151=TRUE)</f>
        <v>0</v>
      </c>
      <c r="BW151">
        <f>IFERROR( (AR151-D151) / MAX(D151-AQ151,1E-9) ,"")</f>
        <v>0</v>
      </c>
      <c r="BX151">
        <f>IFERROR(BW151&gt;=2, FALSE)</f>
        <v>0</v>
      </c>
      <c r="BY151" s="1">
        <f>IFERROR(ROUNDDOWN(MIN(IF(BA151&gt;0, BA151/D151, 1E99),IF(AZ151&gt;0, AZ151/MAX(D151-AQ151,1E-9), 1E99)),0),"")</f>
        <v>0</v>
      </c>
      <c r="BZ151" s="2">
        <f>IF(AND(ISNUMBER(D151),ISNUMBER(AT151)), D151*(1-AT151), "")</f>
        <v>0</v>
      </c>
      <c r="CA151">
        <f>AND(BT151=TRUE,BU151=TRUE,BV151=TRUE,BX151=TRUE)</f>
        <v>0</v>
      </c>
    </row>
    <row r="152" spans="1:79" x14ac:dyDescent="0.25">
      <c r="A152" t="s">
        <v>217</v>
      </c>
      <c r="B152">
        <f>HYPERLINK("data/charts/PPL.png", "Open")</f>
        <v>0</v>
      </c>
      <c r="C152" t="s">
        <v>279</v>
      </c>
      <c r="D152">
        <v>36.55</v>
      </c>
      <c r="E152">
        <v>-2.04</v>
      </c>
      <c r="F152">
        <v>18.82</v>
      </c>
      <c r="G152">
        <v>6.59</v>
      </c>
      <c r="H152">
        <v>34.29</v>
      </c>
      <c r="I152">
        <v>0.0383</v>
      </c>
      <c r="J152" t="b">
        <v>1</v>
      </c>
      <c r="K152">
        <v>35</v>
      </c>
      <c r="L152">
        <v>36.34</v>
      </c>
      <c r="M152">
        <v>36.16</v>
      </c>
      <c r="N152">
        <v>35.51</v>
      </c>
      <c r="O152" t="b">
        <v>1</v>
      </c>
      <c r="P152" t="b">
        <v>1</v>
      </c>
      <c r="Q152" t="b">
        <v>1</v>
      </c>
      <c r="R152">
        <v>57.04</v>
      </c>
      <c r="S152" t="b">
        <v>0</v>
      </c>
      <c r="T152" t="b">
        <v>0</v>
      </c>
      <c r="U152">
        <v>0.4802</v>
      </c>
      <c r="V152">
        <v>0.4644</v>
      </c>
      <c r="W152" t="b">
        <v>1</v>
      </c>
      <c r="X152" t="b">
        <v>0</v>
      </c>
      <c r="Y152">
        <v>9425500</v>
      </c>
      <c r="Z152">
        <v>7340280</v>
      </c>
      <c r="AA152" t="b">
        <v>0</v>
      </c>
      <c r="AB152">
        <v>36.34</v>
      </c>
      <c r="AC152">
        <v>37.22</v>
      </c>
      <c r="AD152">
        <v>35.46</v>
      </c>
      <c r="AE152">
        <v>0.619</v>
      </c>
      <c r="AF152">
        <v>0.048</v>
      </c>
      <c r="AG152">
        <v>37.31</v>
      </c>
      <c r="AH152">
        <v>35.31</v>
      </c>
      <c r="AI152" t="b">
        <v>0</v>
      </c>
      <c r="AJ152">
        <v>0.573</v>
      </c>
      <c r="AK152">
        <v>35.69</v>
      </c>
      <c r="AL152">
        <v>35.31</v>
      </c>
      <c r="AM152">
        <v>35.46</v>
      </c>
      <c r="AN152">
        <v>32.53</v>
      </c>
      <c r="AO152">
        <v>35.69</v>
      </c>
      <c r="AP152" t="s">
        <v>280</v>
      </c>
      <c r="AQ152">
        <v>32.53</v>
      </c>
      <c r="AR152">
        <v>40.2</v>
      </c>
      <c r="AS152">
        <v>0.05</v>
      </c>
      <c r="AT152">
        <v>0.07000000000000001</v>
      </c>
      <c r="AU152">
        <v>60</v>
      </c>
      <c r="AV152">
        <v>0.9079605611090524</v>
      </c>
      <c r="AW152">
        <v>4</v>
      </c>
      <c r="AX152">
        <v>5.25</v>
      </c>
      <c r="AY152">
        <v>248</v>
      </c>
      <c r="AZ152">
        <v>1000</v>
      </c>
      <c r="BA152">
        <v>15000</v>
      </c>
      <c r="BD152">
        <v>27.48</v>
      </c>
      <c r="BE152">
        <v>19.97</v>
      </c>
      <c r="BF152">
        <v>2.98</v>
      </c>
      <c r="BG152">
        <v>0.8</v>
      </c>
      <c r="BH152">
        <v>1.25</v>
      </c>
      <c r="BI152">
        <v>-19.13</v>
      </c>
      <c r="BJ152">
        <v>-55.8</v>
      </c>
      <c r="BK152">
        <v>9.039999999999999</v>
      </c>
      <c r="BM152">
        <v>-7.43</v>
      </c>
      <c r="BN152" t="s">
        <v>288</v>
      </c>
      <c r="BO152" t="b">
        <v>0</v>
      </c>
      <c r="BP152" s="1">
        <f>IFERROR(RANK.EQ(AX152,AX$2:AX$213,0),"")</f>
        <v>0</v>
      </c>
      <c r="BQ152">
        <f>IFERROR(Y152/Z152,"")</f>
        <v>0</v>
      </c>
      <c r="BR152">
        <f>IFERROR(U152-V152,"")</f>
        <v>0</v>
      </c>
      <c r="BS152">
        <f>IFERROR(U152&gt;V152,"")</f>
        <v>0</v>
      </c>
      <c r="BT152">
        <f>IF(AND(ISNUMBER(D152),ISNUMBER(H152),D152&gt;=H152), OR(O152=TRUE,P152=TRUE), FALSE)</f>
        <v>0</v>
      </c>
      <c r="BU152">
        <f>AND(ISNUMBER(R152), R152&gt;=45, R152&lt;=60, W152=TRUE, E152&gt;=-20)</f>
        <v>0</v>
      </c>
      <c r="BV152">
        <f>OR(AI152=TRUE,AA152=TRUE)</f>
        <v>0</v>
      </c>
      <c r="BW152">
        <f>IFERROR( (AR152-D152) / MAX(D152-AQ152,1E-9) ,"")</f>
        <v>0</v>
      </c>
      <c r="BX152">
        <f>IFERROR(BW152&gt;=2, FALSE)</f>
        <v>0</v>
      </c>
      <c r="BY152" s="1">
        <f>IFERROR(ROUNDDOWN(MIN(IF(BA152&gt;0, BA152/D152, 1E99),IF(AZ152&gt;0, AZ152/MAX(D152-AQ152,1E-9), 1E99)),0),"")</f>
        <v>0</v>
      </c>
      <c r="BZ152" s="2">
        <f>IF(AND(ISNUMBER(D152),ISNUMBER(AT152)), D152*(1-AT152), "")</f>
        <v>0</v>
      </c>
      <c r="CA152">
        <f>AND(BT152=TRUE,BU152=TRUE,BV152=TRUE,BX152=TRUE)</f>
        <v>0</v>
      </c>
    </row>
    <row r="153" spans="1:79" x14ac:dyDescent="0.25">
      <c r="A153" t="s">
        <v>218</v>
      </c>
      <c r="B153">
        <f>HYPERLINK("data/charts/HPE.png", "Open")</f>
        <v>0</v>
      </c>
      <c r="C153" t="s">
        <v>279</v>
      </c>
      <c r="D153">
        <v>21.16</v>
      </c>
      <c r="E153">
        <v>-14.19</v>
      </c>
      <c r="F153">
        <v>76.84999999999999</v>
      </c>
      <c r="G153">
        <v>9.01</v>
      </c>
      <c r="H153">
        <v>19.41</v>
      </c>
      <c r="I153">
        <v>0.0239</v>
      </c>
      <c r="J153" t="b">
        <v>1</v>
      </c>
      <c r="K153">
        <v>19.89</v>
      </c>
      <c r="L153">
        <v>20.67</v>
      </c>
      <c r="M153">
        <v>20.67</v>
      </c>
      <c r="N153">
        <v>19.92</v>
      </c>
      <c r="O153" t="b">
        <v>1</v>
      </c>
      <c r="P153" t="b">
        <v>1</v>
      </c>
      <c r="Q153" t="b">
        <v>1</v>
      </c>
      <c r="R153">
        <v>58.21</v>
      </c>
      <c r="S153" t="b">
        <v>0</v>
      </c>
      <c r="T153" t="b">
        <v>0</v>
      </c>
      <c r="U153">
        <v>0.3239</v>
      </c>
      <c r="V153">
        <v>0.2865</v>
      </c>
      <c r="W153" t="b">
        <v>1</v>
      </c>
      <c r="X153" t="b">
        <v>1</v>
      </c>
      <c r="Y153">
        <v>14998500</v>
      </c>
      <c r="Z153">
        <v>14756400</v>
      </c>
      <c r="AA153" t="b">
        <v>0</v>
      </c>
      <c r="AB153">
        <v>20.67</v>
      </c>
      <c r="AC153">
        <v>21.6</v>
      </c>
      <c r="AD153">
        <v>19.74</v>
      </c>
      <c r="AE153">
        <v>0.765</v>
      </c>
      <c r="AF153">
        <v>0.09</v>
      </c>
      <c r="AG153">
        <v>21.76</v>
      </c>
      <c r="AH153">
        <v>19.64</v>
      </c>
      <c r="AI153" t="b">
        <v>0</v>
      </c>
      <c r="AJ153">
        <v>0.469</v>
      </c>
      <c r="AK153">
        <v>20.46</v>
      </c>
      <c r="AL153">
        <v>19.64</v>
      </c>
      <c r="AM153">
        <v>19.74</v>
      </c>
      <c r="AN153">
        <v>18.83</v>
      </c>
      <c r="AO153">
        <v>20.46</v>
      </c>
      <c r="AP153" t="s">
        <v>280</v>
      </c>
      <c r="AQ153">
        <v>18.83</v>
      </c>
      <c r="AR153">
        <v>23.28</v>
      </c>
      <c r="AS153">
        <v>0.05</v>
      </c>
      <c r="AT153">
        <v>0.07000000000000001</v>
      </c>
      <c r="AU153">
        <v>60</v>
      </c>
      <c r="AV153">
        <v>0.9098713697095464</v>
      </c>
      <c r="AW153">
        <v>4</v>
      </c>
      <c r="AX153">
        <v>5.25</v>
      </c>
      <c r="AY153">
        <v>429</v>
      </c>
      <c r="AZ153">
        <v>1000</v>
      </c>
      <c r="BA153">
        <v>15000</v>
      </c>
      <c r="BD153">
        <v>20.35</v>
      </c>
      <c r="BE153">
        <v>10.08</v>
      </c>
      <c r="BF153">
        <v>2.46</v>
      </c>
      <c r="BG153">
        <v>0.5</v>
      </c>
      <c r="BH153">
        <v>0.73</v>
      </c>
      <c r="BI153">
        <v>-2.89</v>
      </c>
      <c r="BJ153">
        <v>-282.22</v>
      </c>
      <c r="BK153">
        <v>-13.77</v>
      </c>
      <c r="BM153">
        <v>0.02</v>
      </c>
      <c r="BN153" t="s">
        <v>288</v>
      </c>
      <c r="BO153" t="b">
        <v>0</v>
      </c>
      <c r="BP153" s="1">
        <f>IFERROR(RANK.EQ(AX153,AX$2:AX$213,0),"")</f>
        <v>0</v>
      </c>
      <c r="BQ153">
        <f>IFERROR(Y153/Z153,"")</f>
        <v>0</v>
      </c>
      <c r="BR153">
        <f>IFERROR(U153-V153,"")</f>
        <v>0</v>
      </c>
      <c r="BS153">
        <f>IFERROR(U153&gt;V153,"")</f>
        <v>0</v>
      </c>
      <c r="BT153">
        <f>IF(AND(ISNUMBER(D153),ISNUMBER(H153),D153&gt;=H153), OR(O153=TRUE,P153=TRUE), FALSE)</f>
        <v>0</v>
      </c>
      <c r="BU153">
        <f>AND(ISNUMBER(R153), R153&gt;=45, R153&lt;=60, W153=TRUE, E153&gt;=-20)</f>
        <v>0</v>
      </c>
      <c r="BV153">
        <f>OR(AI153=TRUE,AA153=TRUE)</f>
        <v>0</v>
      </c>
      <c r="BW153">
        <f>IFERROR( (AR153-D153) / MAX(D153-AQ153,1E-9) ,"")</f>
        <v>0</v>
      </c>
      <c r="BX153">
        <f>IFERROR(BW153&gt;=2, FALSE)</f>
        <v>0</v>
      </c>
      <c r="BY153" s="1">
        <f>IFERROR(ROUNDDOWN(MIN(IF(BA153&gt;0, BA153/D153, 1E99),IF(AZ153&gt;0, AZ153/MAX(D153-AQ153,1E-9), 1E99)),0),"")</f>
        <v>0</v>
      </c>
      <c r="BZ153" s="2">
        <f>IF(AND(ISNUMBER(D153),ISNUMBER(AT153)), D153*(1-AT153), "")</f>
        <v>0</v>
      </c>
      <c r="CA153">
        <f>AND(BT153=TRUE,BU153=TRUE,BV153=TRUE,BX153=TRUE)</f>
        <v>0</v>
      </c>
    </row>
    <row r="154" spans="1:79" x14ac:dyDescent="0.25">
      <c r="A154" t="s">
        <v>219</v>
      </c>
      <c r="B154">
        <f>HYPERLINK("data/charts/AG_TO.png", "Open")</f>
        <v>0</v>
      </c>
      <c r="C154" t="s">
        <v>279</v>
      </c>
      <c r="D154">
        <v>12.25</v>
      </c>
      <c r="E154">
        <v>-5.55</v>
      </c>
      <c r="F154">
        <v>96.63</v>
      </c>
      <c r="G154">
        <v>30.74</v>
      </c>
      <c r="H154">
        <v>9.369999999999999</v>
      </c>
      <c r="I154">
        <v>0.1765</v>
      </c>
      <c r="J154" t="b">
        <v>1</v>
      </c>
      <c r="K154">
        <v>11.6</v>
      </c>
      <c r="L154">
        <v>11.75</v>
      </c>
      <c r="M154">
        <v>11.82</v>
      </c>
      <c r="N154">
        <v>11.3</v>
      </c>
      <c r="O154" t="b">
        <v>1</v>
      </c>
      <c r="P154" t="b">
        <v>1</v>
      </c>
      <c r="Q154" t="b">
        <v>1</v>
      </c>
      <c r="R154">
        <v>59.03</v>
      </c>
      <c r="S154" t="b">
        <v>0</v>
      </c>
      <c r="T154" t="b">
        <v>0</v>
      </c>
      <c r="U154">
        <v>0.2194</v>
      </c>
      <c r="V154">
        <v>0.1642</v>
      </c>
      <c r="W154" t="b">
        <v>1</v>
      </c>
      <c r="X154" t="b">
        <v>1</v>
      </c>
      <c r="Y154">
        <v>1365200</v>
      </c>
      <c r="Z154">
        <v>1209960</v>
      </c>
      <c r="AA154" t="b">
        <v>0</v>
      </c>
      <c r="AB154">
        <v>11.75</v>
      </c>
      <c r="AC154">
        <v>12.59</v>
      </c>
      <c r="AD154">
        <v>10.91</v>
      </c>
      <c r="AE154">
        <v>0.796</v>
      </c>
      <c r="AF154">
        <v>0.143</v>
      </c>
      <c r="AG154">
        <v>12.95</v>
      </c>
      <c r="AH154">
        <v>10.69</v>
      </c>
      <c r="AI154" t="b">
        <v>0</v>
      </c>
      <c r="AJ154">
        <v>0.518</v>
      </c>
      <c r="AK154">
        <v>11.47</v>
      </c>
      <c r="AL154">
        <v>11.43</v>
      </c>
      <c r="AM154">
        <v>10.91</v>
      </c>
      <c r="AN154">
        <v>10.9</v>
      </c>
      <c r="AO154">
        <v>11.47</v>
      </c>
      <c r="AP154" t="s">
        <v>280</v>
      </c>
      <c r="AQ154">
        <v>10.9</v>
      </c>
      <c r="AR154">
        <v>13.48</v>
      </c>
      <c r="AS154">
        <v>0.05</v>
      </c>
      <c r="AT154">
        <v>0.07000000000000001</v>
      </c>
      <c r="AU154">
        <v>60</v>
      </c>
      <c r="AV154">
        <v>0.9111111111111116</v>
      </c>
      <c r="AW154">
        <v>4</v>
      </c>
      <c r="AX154">
        <v>5.25</v>
      </c>
      <c r="AY154">
        <v>740</v>
      </c>
      <c r="AZ154">
        <v>1000</v>
      </c>
      <c r="BA154">
        <v>15000</v>
      </c>
      <c r="BE154">
        <v>33.11</v>
      </c>
      <c r="BF154">
        <v>23</v>
      </c>
      <c r="BG154">
        <v>0.07000000000000001</v>
      </c>
      <c r="BH154">
        <v>0.08</v>
      </c>
      <c r="BI154">
        <v>7.62</v>
      </c>
      <c r="BJ154">
        <v>1000</v>
      </c>
      <c r="BK154">
        <v>21.37</v>
      </c>
      <c r="BN154" t="s">
        <v>285</v>
      </c>
      <c r="BO154" t="b">
        <v>0</v>
      </c>
      <c r="BP154" s="1">
        <f>IFERROR(RANK.EQ(AX154,AX$2:AX$213,0),"")</f>
        <v>0</v>
      </c>
      <c r="BQ154">
        <f>IFERROR(Y154/Z154,"")</f>
        <v>0</v>
      </c>
      <c r="BR154">
        <f>IFERROR(U154-V154,"")</f>
        <v>0</v>
      </c>
      <c r="BS154">
        <f>IFERROR(U154&gt;V154,"")</f>
        <v>0</v>
      </c>
      <c r="BT154">
        <f>IF(AND(ISNUMBER(D154),ISNUMBER(H154),D154&gt;=H154), OR(O154=TRUE,P154=TRUE), FALSE)</f>
        <v>0</v>
      </c>
      <c r="BU154">
        <f>AND(ISNUMBER(R154), R154&gt;=45, R154&lt;=60, W154=TRUE, E154&gt;=-20)</f>
        <v>0</v>
      </c>
      <c r="BV154">
        <f>OR(AI154=TRUE,AA154=TRUE)</f>
        <v>0</v>
      </c>
      <c r="BW154">
        <f>IFERROR( (AR154-D154) / MAX(D154-AQ154,1E-9) ,"")</f>
        <v>0</v>
      </c>
      <c r="BX154">
        <f>IFERROR(BW154&gt;=2, FALSE)</f>
        <v>0</v>
      </c>
      <c r="BY154" s="1">
        <f>IFERROR(ROUNDDOWN(MIN(IF(BA154&gt;0, BA154/D154, 1E99),IF(AZ154&gt;0, AZ154/MAX(D154-AQ154,1E-9), 1E99)),0),"")</f>
        <v>0</v>
      </c>
      <c r="BZ154" s="2">
        <f>IF(AND(ISNUMBER(D154),ISNUMBER(AT154)), D154*(1-AT154), "")</f>
        <v>0</v>
      </c>
      <c r="CA154">
        <f>AND(BT154=TRUE,BU154=TRUE,BV154=TRUE,BX154=TRUE)</f>
        <v>0</v>
      </c>
    </row>
    <row r="155" spans="1:79" x14ac:dyDescent="0.25">
      <c r="A155" t="s">
        <v>220</v>
      </c>
      <c r="B155">
        <f>HYPERLINK("data/charts/T_TO.png", "Open")</f>
        <v>0</v>
      </c>
      <c r="C155" t="s">
        <v>279</v>
      </c>
      <c r="D155">
        <v>22.65</v>
      </c>
      <c r="E155">
        <v>-3.33</v>
      </c>
      <c r="F155">
        <v>18.59</v>
      </c>
      <c r="G155">
        <v>5.74</v>
      </c>
      <c r="H155">
        <v>21.42</v>
      </c>
      <c r="I155">
        <v>-0.0053</v>
      </c>
      <c r="J155" t="b">
        <v>0</v>
      </c>
      <c r="K155">
        <v>22.21</v>
      </c>
      <c r="L155">
        <v>22.28</v>
      </c>
      <c r="M155">
        <v>22.26</v>
      </c>
      <c r="N155">
        <v>22.15</v>
      </c>
      <c r="O155" t="b">
        <v>1</v>
      </c>
      <c r="P155" t="b">
        <v>1</v>
      </c>
      <c r="Q155" t="b">
        <v>1</v>
      </c>
      <c r="R155">
        <v>60.7</v>
      </c>
      <c r="S155" t="b">
        <v>0</v>
      </c>
      <c r="T155" t="b">
        <v>0</v>
      </c>
      <c r="U155">
        <v>0.0235</v>
      </c>
      <c r="V155">
        <v>-0.0143</v>
      </c>
      <c r="W155" t="b">
        <v>1</v>
      </c>
      <c r="X155" t="b">
        <v>1</v>
      </c>
      <c r="Y155">
        <v>3311500</v>
      </c>
      <c r="Z155">
        <v>3550360</v>
      </c>
      <c r="AA155" t="b">
        <v>0</v>
      </c>
      <c r="AB155">
        <v>22.28</v>
      </c>
      <c r="AC155">
        <v>22.87</v>
      </c>
      <c r="AD155">
        <v>21.69</v>
      </c>
      <c r="AE155">
        <v>0.8169999999999999</v>
      </c>
      <c r="AF155">
        <v>0.053</v>
      </c>
      <c r="AG155">
        <v>22.89</v>
      </c>
      <c r="AH155">
        <v>21.51</v>
      </c>
      <c r="AI155" t="b">
        <v>0</v>
      </c>
      <c r="AJ155">
        <v>0.276</v>
      </c>
      <c r="AK155">
        <v>22.24</v>
      </c>
      <c r="AL155">
        <v>21.51</v>
      </c>
      <c r="AM155">
        <v>21.69</v>
      </c>
      <c r="AN155">
        <v>20.16</v>
      </c>
      <c r="AO155">
        <v>22.24</v>
      </c>
      <c r="AP155" t="s">
        <v>280</v>
      </c>
      <c r="AQ155">
        <v>20.16</v>
      </c>
      <c r="AR155">
        <v>24.91</v>
      </c>
      <c r="AS155">
        <v>0.05</v>
      </c>
      <c r="AT155">
        <v>0.07000000000000001</v>
      </c>
      <c r="AU155">
        <v>60</v>
      </c>
      <c r="AV155">
        <v>0.9076308143387171</v>
      </c>
      <c r="AW155">
        <v>4</v>
      </c>
      <c r="AX155">
        <v>5.25</v>
      </c>
      <c r="AY155">
        <v>401</v>
      </c>
      <c r="AZ155">
        <v>1000</v>
      </c>
      <c r="BA155">
        <v>15000</v>
      </c>
      <c r="BD155">
        <v>34.85</v>
      </c>
      <c r="BE155">
        <v>21.57</v>
      </c>
      <c r="BF155">
        <v>7.35</v>
      </c>
      <c r="BG155">
        <v>2.48</v>
      </c>
      <c r="BH155">
        <v>2.06</v>
      </c>
      <c r="BI155">
        <v>0.26</v>
      </c>
      <c r="BJ155">
        <v>-97.81999999999999</v>
      </c>
      <c r="BK155">
        <v>0.14</v>
      </c>
      <c r="BM155">
        <v>-0.36</v>
      </c>
      <c r="BN155" t="s">
        <v>318</v>
      </c>
      <c r="BO155" t="b">
        <v>0</v>
      </c>
      <c r="BP155" s="1">
        <f>IFERROR(RANK.EQ(AX155,AX$2:AX$213,0),"")</f>
        <v>0</v>
      </c>
      <c r="BQ155">
        <f>IFERROR(Y155/Z155,"")</f>
        <v>0</v>
      </c>
      <c r="BR155">
        <f>IFERROR(U155-V155,"")</f>
        <v>0</v>
      </c>
      <c r="BS155">
        <f>IFERROR(U155&gt;V155,"")</f>
        <v>0</v>
      </c>
      <c r="BT155">
        <f>IF(AND(ISNUMBER(D155),ISNUMBER(H155),D155&gt;=H155), OR(O155=TRUE,P155=TRUE), FALSE)</f>
        <v>0</v>
      </c>
      <c r="BU155">
        <f>AND(ISNUMBER(R155), R155&gt;=45, R155&lt;=60, W155=TRUE, E155&gt;=-20)</f>
        <v>0</v>
      </c>
      <c r="BV155">
        <f>OR(AI155=TRUE,AA155=TRUE)</f>
        <v>0</v>
      </c>
      <c r="BW155">
        <f>IFERROR( (AR155-D155) / MAX(D155-AQ155,1E-9) ,"")</f>
        <v>0</v>
      </c>
      <c r="BX155">
        <f>IFERROR(BW155&gt;=2, FALSE)</f>
        <v>0</v>
      </c>
      <c r="BY155" s="1">
        <f>IFERROR(ROUNDDOWN(MIN(IF(BA155&gt;0, BA155/D155, 1E99),IF(AZ155&gt;0, AZ155/MAX(D155-AQ155,1E-9), 1E99)),0),"")</f>
        <v>0</v>
      </c>
      <c r="BZ155" s="2">
        <f>IF(AND(ISNUMBER(D155),ISNUMBER(AT155)), D155*(1-AT155), "")</f>
        <v>0</v>
      </c>
      <c r="CA155">
        <f>AND(BT155=TRUE,BU155=TRUE,BV155=TRUE,BX155=TRUE)</f>
        <v>0</v>
      </c>
    </row>
    <row r="156" spans="1:79" x14ac:dyDescent="0.25">
      <c r="A156" t="s">
        <v>221</v>
      </c>
      <c r="B156">
        <f>HYPERLINK("data/charts/CRR-UN_TO.png", "Open")</f>
        <v>0</v>
      </c>
      <c r="C156" t="s">
        <v>279</v>
      </c>
      <c r="D156">
        <v>15.09</v>
      </c>
      <c r="E156">
        <v>-6.97</v>
      </c>
      <c r="F156">
        <v>15.99</v>
      </c>
      <c r="G156">
        <v>5.63</v>
      </c>
      <c r="H156">
        <v>14.29</v>
      </c>
      <c r="I156">
        <v>-0.0248</v>
      </c>
      <c r="J156" t="b">
        <v>0</v>
      </c>
      <c r="K156">
        <v>14.77</v>
      </c>
      <c r="L156">
        <v>14.71</v>
      </c>
      <c r="M156">
        <v>14.76</v>
      </c>
      <c r="N156">
        <v>14.72</v>
      </c>
      <c r="O156" t="b">
        <v>1</v>
      </c>
      <c r="P156" t="b">
        <v>1</v>
      </c>
      <c r="Q156" t="b">
        <v>1</v>
      </c>
      <c r="R156">
        <v>61.76</v>
      </c>
      <c r="S156" t="b">
        <v>0</v>
      </c>
      <c r="T156" t="b">
        <v>0</v>
      </c>
      <c r="U156">
        <v>0.057</v>
      </c>
      <c r="V156">
        <v>-0.0049</v>
      </c>
      <c r="W156" t="b">
        <v>0</v>
      </c>
      <c r="X156" t="b">
        <v>0</v>
      </c>
      <c r="Y156">
        <v>247000</v>
      </c>
      <c r="Z156">
        <v>198615</v>
      </c>
      <c r="AA156" t="b">
        <v>0</v>
      </c>
      <c r="AB156">
        <v>14.71</v>
      </c>
      <c r="AC156">
        <v>15.14</v>
      </c>
      <c r="AD156">
        <v>14.27</v>
      </c>
      <c r="AE156">
        <v>0.9399999999999999</v>
      </c>
      <c r="AF156">
        <v>0.059</v>
      </c>
      <c r="AG156">
        <v>15.09</v>
      </c>
      <c r="AH156">
        <v>14.31</v>
      </c>
      <c r="AI156" t="b">
        <v>1</v>
      </c>
      <c r="AJ156">
        <v>0.277</v>
      </c>
      <c r="AK156">
        <v>14.67</v>
      </c>
      <c r="AL156">
        <v>14.31</v>
      </c>
      <c r="AM156">
        <v>14.27</v>
      </c>
      <c r="AN156">
        <v>13.43</v>
      </c>
      <c r="AO156">
        <v>14.67</v>
      </c>
      <c r="AP156" t="s">
        <v>280</v>
      </c>
      <c r="AQ156">
        <v>13.43</v>
      </c>
      <c r="AR156">
        <v>16.6</v>
      </c>
      <c r="AS156">
        <v>0.05</v>
      </c>
      <c r="AT156">
        <v>0.07000000000000001</v>
      </c>
      <c r="AU156">
        <v>60</v>
      </c>
      <c r="AV156">
        <v>0.9096383786821139</v>
      </c>
      <c r="AW156">
        <v>4</v>
      </c>
      <c r="AX156">
        <v>5.25</v>
      </c>
      <c r="AY156">
        <v>602</v>
      </c>
      <c r="AZ156">
        <v>1000</v>
      </c>
      <c r="BA156">
        <v>15000</v>
      </c>
      <c r="BE156">
        <v>23.22</v>
      </c>
      <c r="BF156">
        <v>5.9</v>
      </c>
      <c r="BG156">
        <v>48.54</v>
      </c>
      <c r="BH156">
        <v>1.29</v>
      </c>
      <c r="BI156">
        <v>2.64</v>
      </c>
      <c r="BJ156">
        <v>-73.06</v>
      </c>
      <c r="BK156">
        <v>28.67</v>
      </c>
      <c r="BN156" t="s">
        <v>316</v>
      </c>
      <c r="BO156" t="b">
        <v>0</v>
      </c>
      <c r="BP156" s="1">
        <f>IFERROR(RANK.EQ(AX156,AX$2:AX$213,0),"")</f>
        <v>0</v>
      </c>
      <c r="BQ156">
        <f>IFERROR(Y156/Z156,"")</f>
        <v>0</v>
      </c>
      <c r="BR156">
        <f>IFERROR(U156-V156,"")</f>
        <v>0</v>
      </c>
      <c r="BS156">
        <f>IFERROR(U156&gt;V156,"")</f>
        <v>0</v>
      </c>
      <c r="BT156">
        <f>IF(AND(ISNUMBER(D156),ISNUMBER(H156),D156&gt;=H156), OR(O156=TRUE,P156=TRUE), FALSE)</f>
        <v>0</v>
      </c>
      <c r="BU156">
        <f>AND(ISNUMBER(R156), R156&gt;=45, R156&lt;=60, W156=TRUE, E156&gt;=-20)</f>
        <v>0</v>
      </c>
      <c r="BV156">
        <f>OR(AI156=TRUE,AA156=TRUE)</f>
        <v>0</v>
      </c>
      <c r="BW156">
        <f>IFERROR( (AR156-D156) / MAX(D156-AQ156,1E-9) ,"")</f>
        <v>0</v>
      </c>
      <c r="BX156">
        <f>IFERROR(BW156&gt;=2, FALSE)</f>
        <v>0</v>
      </c>
      <c r="BY156" s="1">
        <f>IFERROR(ROUNDDOWN(MIN(IF(BA156&gt;0, BA156/D156, 1E99),IF(AZ156&gt;0, AZ156/MAX(D156-AQ156,1E-9), 1E99)),0),"")</f>
        <v>0</v>
      </c>
      <c r="BZ156" s="2">
        <f>IF(AND(ISNUMBER(D156),ISNUMBER(AT156)), D156*(1-AT156), "")</f>
        <v>0</v>
      </c>
      <c r="CA156">
        <f>AND(BT156=TRUE,BU156=TRUE,BV156=TRUE,BX156=TRUE)</f>
        <v>0</v>
      </c>
    </row>
    <row r="157" spans="1:79" x14ac:dyDescent="0.25">
      <c r="A157" t="s">
        <v>222</v>
      </c>
      <c r="B157">
        <f>HYPERLINK("data/charts/TKO.png", "Open")</f>
        <v>0</v>
      </c>
      <c r="C157" t="s">
        <v>279</v>
      </c>
      <c r="D157">
        <v>188.85</v>
      </c>
      <c r="E157">
        <v>-3.03</v>
      </c>
      <c r="F157">
        <v>66.89</v>
      </c>
      <c r="G157">
        <v>22.73</v>
      </c>
      <c r="H157">
        <v>153.87</v>
      </c>
      <c r="I157">
        <v>0.1622</v>
      </c>
      <c r="J157" t="b">
        <v>1</v>
      </c>
      <c r="K157">
        <v>171.66</v>
      </c>
      <c r="L157">
        <v>171.36</v>
      </c>
      <c r="M157">
        <v>174.59</v>
      </c>
      <c r="N157">
        <v>170.62</v>
      </c>
      <c r="O157" t="b">
        <v>1</v>
      </c>
      <c r="P157" t="b">
        <v>1</v>
      </c>
      <c r="Q157" t="b">
        <v>1</v>
      </c>
      <c r="R157">
        <v>67.81</v>
      </c>
      <c r="S157" t="b">
        <v>0</v>
      </c>
      <c r="T157" t="b">
        <v>0</v>
      </c>
      <c r="U157">
        <v>4.2934</v>
      </c>
      <c r="V157">
        <v>1.2219</v>
      </c>
      <c r="W157" t="b">
        <v>1</v>
      </c>
      <c r="X157" t="b">
        <v>1</v>
      </c>
      <c r="Y157">
        <v>719200</v>
      </c>
      <c r="Z157">
        <v>1057450</v>
      </c>
      <c r="AA157" t="b">
        <v>0</v>
      </c>
      <c r="AB157">
        <v>171.36</v>
      </c>
      <c r="AC157">
        <v>191.48</v>
      </c>
      <c r="AD157">
        <v>151.25</v>
      </c>
      <c r="AE157">
        <v>0.9350000000000001</v>
      </c>
      <c r="AF157">
        <v>0.235</v>
      </c>
      <c r="AG157">
        <v>194.76</v>
      </c>
      <c r="AH157">
        <v>152.29</v>
      </c>
      <c r="AI157" t="b">
        <v>0</v>
      </c>
      <c r="AJ157">
        <v>6.346</v>
      </c>
      <c r="AK157">
        <v>179.33</v>
      </c>
      <c r="AL157">
        <v>152.29</v>
      </c>
      <c r="AM157">
        <v>151.25</v>
      </c>
      <c r="AN157">
        <v>168.08</v>
      </c>
      <c r="AO157">
        <v>179.33</v>
      </c>
      <c r="AP157" t="s">
        <v>280</v>
      </c>
      <c r="AQ157">
        <v>168.08</v>
      </c>
      <c r="AR157">
        <v>207.74</v>
      </c>
      <c r="AS157">
        <v>0.05</v>
      </c>
      <c r="AT157">
        <v>0.07000000000000001</v>
      </c>
      <c r="AU157">
        <v>60</v>
      </c>
      <c r="AV157">
        <v>0.9094842727700012</v>
      </c>
      <c r="AW157">
        <v>4</v>
      </c>
      <c r="AX157">
        <v>5.25</v>
      </c>
      <c r="AY157">
        <v>48</v>
      </c>
      <c r="AZ157">
        <v>1000</v>
      </c>
      <c r="BA157">
        <v>15000</v>
      </c>
      <c r="BD157">
        <v>77.40000000000001</v>
      </c>
      <c r="BE157">
        <v>58.29</v>
      </c>
      <c r="BF157">
        <v>80</v>
      </c>
      <c r="BG157">
        <v>0.31</v>
      </c>
      <c r="BH157">
        <v>0.3</v>
      </c>
      <c r="BI157">
        <v>3.12</v>
      </c>
      <c r="BJ157">
        <v>66.67</v>
      </c>
      <c r="BK157">
        <v>7.52</v>
      </c>
      <c r="BM157">
        <v>1.17</v>
      </c>
      <c r="BN157" t="s">
        <v>306</v>
      </c>
      <c r="BO157" t="b">
        <v>0</v>
      </c>
      <c r="BP157" s="1">
        <f>IFERROR(RANK.EQ(AX157,AX$2:AX$213,0),"")</f>
        <v>0</v>
      </c>
      <c r="BQ157">
        <f>IFERROR(Y157/Z157,"")</f>
        <v>0</v>
      </c>
      <c r="BR157">
        <f>IFERROR(U157-V157,"")</f>
        <v>0</v>
      </c>
      <c r="BS157">
        <f>IFERROR(U157&gt;V157,"")</f>
        <v>0</v>
      </c>
      <c r="BT157">
        <f>IF(AND(ISNUMBER(D157),ISNUMBER(H157),D157&gt;=H157), OR(O157=TRUE,P157=TRUE), FALSE)</f>
        <v>0</v>
      </c>
      <c r="BU157">
        <f>AND(ISNUMBER(R157), R157&gt;=45, R157&lt;=60, W157=TRUE, E157&gt;=-20)</f>
        <v>0</v>
      </c>
      <c r="BV157">
        <f>OR(AI157=TRUE,AA157=TRUE)</f>
        <v>0</v>
      </c>
      <c r="BW157">
        <f>IFERROR( (AR157-D157) / MAX(D157-AQ157,1E-9) ,"")</f>
        <v>0</v>
      </c>
      <c r="BX157">
        <f>IFERROR(BW157&gt;=2, FALSE)</f>
        <v>0</v>
      </c>
      <c r="BY157" s="1">
        <f>IFERROR(ROUNDDOWN(MIN(IF(BA157&gt;0, BA157/D157, 1E99),IF(AZ157&gt;0, AZ157/MAX(D157-AQ157,1E-9), 1E99)),0),"")</f>
        <v>0</v>
      </c>
      <c r="BZ157" s="2">
        <f>IF(AND(ISNUMBER(D157),ISNUMBER(AT157)), D157*(1-AT157), "")</f>
        <v>0</v>
      </c>
      <c r="CA157">
        <f>AND(BT157=TRUE,BU157=TRUE,BV157=TRUE,BX157=TRUE)</f>
        <v>0</v>
      </c>
    </row>
    <row r="158" spans="1:79" x14ac:dyDescent="0.25">
      <c r="A158" t="s">
        <v>223</v>
      </c>
      <c r="B158">
        <f>HYPERLINK("data/charts/ABBV.png", "Open")</f>
        <v>0</v>
      </c>
      <c r="C158" t="s">
        <v>279</v>
      </c>
      <c r="D158">
        <v>206.69</v>
      </c>
      <c r="E158">
        <v>-5.47</v>
      </c>
      <c r="F158">
        <v>26.18</v>
      </c>
      <c r="G158">
        <v>9.720000000000001</v>
      </c>
      <c r="H158">
        <v>188.37</v>
      </c>
      <c r="I158">
        <v>-0.0112</v>
      </c>
      <c r="J158" t="b">
        <v>0</v>
      </c>
      <c r="K158">
        <v>191.16</v>
      </c>
      <c r="L158">
        <v>194.8</v>
      </c>
      <c r="M158">
        <v>196.48</v>
      </c>
      <c r="N158">
        <v>192.73</v>
      </c>
      <c r="O158" t="b">
        <v>1</v>
      </c>
      <c r="P158" t="b">
        <v>1</v>
      </c>
      <c r="Q158" t="b">
        <v>1</v>
      </c>
      <c r="R158">
        <v>71.40000000000001</v>
      </c>
      <c r="S158" t="b">
        <v>0</v>
      </c>
      <c r="T158" t="b">
        <v>0</v>
      </c>
      <c r="U158">
        <v>3.7813</v>
      </c>
      <c r="V158">
        <v>2.6473</v>
      </c>
      <c r="W158" t="b">
        <v>0</v>
      </c>
      <c r="X158" t="b">
        <v>1</v>
      </c>
      <c r="Y158">
        <v>4430900</v>
      </c>
      <c r="Z158">
        <v>4893355</v>
      </c>
      <c r="AA158" t="b">
        <v>0</v>
      </c>
      <c r="AB158">
        <v>194.8</v>
      </c>
      <c r="AC158">
        <v>206.55</v>
      </c>
      <c r="AD158">
        <v>183.05</v>
      </c>
      <c r="AE158">
        <v>1.006</v>
      </c>
      <c r="AF158">
        <v>0.121</v>
      </c>
      <c r="AG158">
        <v>206.84</v>
      </c>
      <c r="AH158">
        <v>184.63</v>
      </c>
      <c r="AI158" t="b">
        <v>1</v>
      </c>
      <c r="AJ158">
        <v>4.25</v>
      </c>
      <c r="AK158">
        <v>200.32</v>
      </c>
      <c r="AL158">
        <v>187.62</v>
      </c>
      <c r="AM158">
        <v>183.05</v>
      </c>
      <c r="AN158">
        <v>183.95</v>
      </c>
      <c r="AO158">
        <v>200.32</v>
      </c>
      <c r="AP158" t="s">
        <v>280</v>
      </c>
      <c r="AQ158">
        <v>183.95</v>
      </c>
      <c r="AR158">
        <v>227.36</v>
      </c>
      <c r="AS158">
        <v>0.05</v>
      </c>
      <c r="AT158">
        <v>0.07000000000000001</v>
      </c>
      <c r="AU158">
        <v>60</v>
      </c>
      <c r="AV158">
        <v>0.908970771302851</v>
      </c>
      <c r="AW158">
        <v>4</v>
      </c>
      <c r="AX158">
        <v>5.25</v>
      </c>
      <c r="AY158">
        <v>43</v>
      </c>
      <c r="AZ158">
        <v>1000</v>
      </c>
      <c r="BA158">
        <v>15000</v>
      </c>
      <c r="BD158">
        <v>97.95999999999999</v>
      </c>
      <c r="BE158">
        <v>17.04</v>
      </c>
      <c r="BF158">
        <v>3.17</v>
      </c>
      <c r="BG158">
        <v>3.04</v>
      </c>
      <c r="BH158">
        <v>-510.73</v>
      </c>
      <c r="BI158">
        <v>15.59</v>
      </c>
      <c r="BJ158">
        <v>-27.78</v>
      </c>
      <c r="BK158">
        <v>6.08</v>
      </c>
      <c r="BM158">
        <v>-3.11</v>
      </c>
      <c r="BN158" t="s">
        <v>309</v>
      </c>
      <c r="BO158" t="b">
        <v>0</v>
      </c>
      <c r="BP158" s="1">
        <f>IFERROR(RANK.EQ(AX158,AX$2:AX$213,0),"")</f>
        <v>0</v>
      </c>
      <c r="BQ158">
        <f>IFERROR(Y158/Z158,"")</f>
        <v>0</v>
      </c>
      <c r="BR158">
        <f>IFERROR(U158-V158,"")</f>
        <v>0</v>
      </c>
      <c r="BS158">
        <f>IFERROR(U158&gt;V158,"")</f>
        <v>0</v>
      </c>
      <c r="BT158">
        <f>IF(AND(ISNUMBER(D158),ISNUMBER(H158),D158&gt;=H158), OR(O158=TRUE,P158=TRUE), FALSE)</f>
        <v>0</v>
      </c>
      <c r="BU158">
        <f>AND(ISNUMBER(R158), R158&gt;=45, R158&lt;=60, W158=TRUE, E158&gt;=-20)</f>
        <v>0</v>
      </c>
      <c r="BV158">
        <f>OR(AI158=TRUE,AA158=TRUE)</f>
        <v>0</v>
      </c>
      <c r="BW158">
        <f>IFERROR( (AR158-D158) / MAX(D158-AQ158,1E-9) ,"")</f>
        <v>0</v>
      </c>
      <c r="BX158">
        <f>IFERROR(BW158&gt;=2, FALSE)</f>
        <v>0</v>
      </c>
      <c r="BY158" s="1">
        <f>IFERROR(ROUNDDOWN(MIN(IF(BA158&gt;0, BA158/D158, 1E99),IF(AZ158&gt;0, AZ158/MAX(D158-AQ158,1E-9), 1E99)),0),"")</f>
        <v>0</v>
      </c>
      <c r="BZ158" s="2">
        <f>IF(AND(ISNUMBER(D158),ISNUMBER(AT158)), D158*(1-AT158), "")</f>
        <v>0</v>
      </c>
      <c r="CA158">
        <f>AND(BT158=TRUE,BU158=TRUE,BV158=TRUE,BX158=TRUE)</f>
        <v>0</v>
      </c>
    </row>
    <row r="159" spans="1:79" x14ac:dyDescent="0.25">
      <c r="A159" t="s">
        <v>224</v>
      </c>
      <c r="B159">
        <f>HYPERLINK("data/charts/HUM.png", "Open")</f>
        <v>0</v>
      </c>
      <c r="C159" t="s">
        <v>279</v>
      </c>
      <c r="D159">
        <v>286.39</v>
      </c>
      <c r="E159">
        <v>-25.17</v>
      </c>
      <c r="F159">
        <v>38.44</v>
      </c>
      <c r="G159">
        <v>9.99</v>
      </c>
      <c r="H159">
        <v>260.38</v>
      </c>
      <c r="I159">
        <v>-0.1272</v>
      </c>
      <c r="J159" t="b">
        <v>0</v>
      </c>
      <c r="K159">
        <v>242.15</v>
      </c>
      <c r="L159">
        <v>252.71</v>
      </c>
      <c r="M159">
        <v>257.83</v>
      </c>
      <c r="N159">
        <v>248.74</v>
      </c>
      <c r="O159" t="b">
        <v>1</v>
      </c>
      <c r="P159" t="b">
        <v>1</v>
      </c>
      <c r="Q159" t="b">
        <v>1</v>
      </c>
      <c r="R159">
        <v>73.70999999999999</v>
      </c>
      <c r="S159" t="b">
        <v>0</v>
      </c>
      <c r="T159" t="b">
        <v>0</v>
      </c>
      <c r="U159">
        <v>11.9979</v>
      </c>
      <c r="V159">
        <v>7.9716</v>
      </c>
      <c r="W159" t="b">
        <v>0</v>
      </c>
      <c r="X159" t="b">
        <v>1</v>
      </c>
      <c r="Y159">
        <v>1738600</v>
      </c>
      <c r="Z159">
        <v>1946660</v>
      </c>
      <c r="AA159" t="b">
        <v>0</v>
      </c>
      <c r="AB159">
        <v>252.71</v>
      </c>
      <c r="AC159">
        <v>290.28</v>
      </c>
      <c r="AD159">
        <v>215.14</v>
      </c>
      <c r="AE159">
        <v>0.948</v>
      </c>
      <c r="AF159">
        <v>0.297</v>
      </c>
      <c r="AG159">
        <v>290.65</v>
      </c>
      <c r="AH159">
        <v>220.96</v>
      </c>
      <c r="AI159" t="b">
        <v>1</v>
      </c>
      <c r="AJ159">
        <v>9.711</v>
      </c>
      <c r="AK159">
        <v>271.82</v>
      </c>
      <c r="AL159">
        <v>244.1</v>
      </c>
      <c r="AM159">
        <v>215.14</v>
      </c>
      <c r="AN159">
        <v>254.89</v>
      </c>
      <c r="AO159">
        <v>271.82</v>
      </c>
      <c r="AP159" t="s">
        <v>280</v>
      </c>
      <c r="AQ159">
        <v>254.89</v>
      </c>
      <c r="AR159">
        <v>315.03</v>
      </c>
      <c r="AS159">
        <v>0.05</v>
      </c>
      <c r="AT159">
        <v>0.07000000000000001</v>
      </c>
      <c r="AU159">
        <v>60</v>
      </c>
      <c r="AV159">
        <v>0.9092054613689868</v>
      </c>
      <c r="AW159">
        <v>4</v>
      </c>
      <c r="AX159">
        <v>5.25</v>
      </c>
      <c r="AY159">
        <v>31</v>
      </c>
      <c r="AZ159">
        <v>1000</v>
      </c>
      <c r="BA159">
        <v>15000</v>
      </c>
      <c r="BD159">
        <v>21.93</v>
      </c>
      <c r="BE159">
        <v>17.01</v>
      </c>
      <c r="BF159">
        <v>1.24</v>
      </c>
      <c r="BG159">
        <v>0.27</v>
      </c>
      <c r="BH159">
        <v>0.6899999999999999</v>
      </c>
      <c r="BI159">
        <v>0.86</v>
      </c>
      <c r="BJ159">
        <v>-56.16</v>
      </c>
      <c r="BK159">
        <v>1.68</v>
      </c>
      <c r="BM159">
        <v>-1.11</v>
      </c>
      <c r="BN159" t="s">
        <v>283</v>
      </c>
      <c r="BO159" t="b">
        <v>0</v>
      </c>
      <c r="BP159" s="1">
        <f>IFERROR(RANK.EQ(AX159,AX$2:AX$213,0),"")</f>
        <v>0</v>
      </c>
      <c r="BQ159">
        <f>IFERROR(Y159/Z159,"")</f>
        <v>0</v>
      </c>
      <c r="BR159">
        <f>IFERROR(U159-V159,"")</f>
        <v>0</v>
      </c>
      <c r="BS159">
        <f>IFERROR(U159&gt;V159,"")</f>
        <v>0</v>
      </c>
      <c r="BT159">
        <f>IF(AND(ISNUMBER(D159),ISNUMBER(H159),D159&gt;=H159), OR(O159=TRUE,P159=TRUE), FALSE)</f>
        <v>0</v>
      </c>
      <c r="BU159">
        <f>AND(ISNUMBER(R159), R159&gt;=45, R159&lt;=60, W159=TRUE, E159&gt;=-20)</f>
        <v>0</v>
      </c>
      <c r="BV159">
        <f>OR(AI159=TRUE,AA159=TRUE)</f>
        <v>0</v>
      </c>
      <c r="BW159">
        <f>IFERROR( (AR159-D159) / MAX(D159-AQ159,1E-9) ,"")</f>
        <v>0</v>
      </c>
      <c r="BX159">
        <f>IFERROR(BW159&gt;=2, FALSE)</f>
        <v>0</v>
      </c>
      <c r="BY159" s="1">
        <f>IFERROR(ROUNDDOWN(MIN(IF(BA159&gt;0, BA159/D159, 1E99),IF(AZ159&gt;0, AZ159/MAX(D159-AQ159,1E-9), 1E99)),0),"")</f>
        <v>0</v>
      </c>
      <c r="BZ159" s="2">
        <f>IF(AND(ISNUMBER(D159),ISNUMBER(AT159)), D159*(1-AT159), "")</f>
        <v>0</v>
      </c>
      <c r="CA159">
        <f>AND(BT159=TRUE,BU159=TRUE,BV159=TRUE,BX159=TRUE)</f>
        <v>0</v>
      </c>
    </row>
    <row r="160" spans="1:79" x14ac:dyDescent="0.25">
      <c r="A160" t="s">
        <v>225</v>
      </c>
      <c r="B160">
        <f>HYPERLINK("data/charts/RCI-B_TO.png", "Open")</f>
        <v>0</v>
      </c>
      <c r="C160" t="s">
        <v>279</v>
      </c>
      <c r="D160">
        <v>48.78</v>
      </c>
      <c r="E160">
        <v>-13.74</v>
      </c>
      <c r="F160">
        <v>50.46</v>
      </c>
      <c r="G160">
        <v>16.6</v>
      </c>
      <c r="H160">
        <v>41.84</v>
      </c>
      <c r="I160">
        <v>-0.1242</v>
      </c>
      <c r="J160" t="b">
        <v>0</v>
      </c>
      <c r="K160">
        <v>43.15</v>
      </c>
      <c r="L160">
        <v>46.7</v>
      </c>
      <c r="M160">
        <v>46.41</v>
      </c>
      <c r="N160">
        <v>43.91</v>
      </c>
      <c r="O160" t="b">
        <v>1</v>
      </c>
      <c r="P160" t="b">
        <v>1</v>
      </c>
      <c r="Q160" t="b">
        <v>1</v>
      </c>
      <c r="R160">
        <v>75.75</v>
      </c>
      <c r="S160" t="b">
        <v>0</v>
      </c>
      <c r="T160" t="b">
        <v>0</v>
      </c>
      <c r="U160">
        <v>1.2444</v>
      </c>
      <c r="V160">
        <v>1.2524</v>
      </c>
      <c r="W160" t="b">
        <v>0</v>
      </c>
      <c r="X160" t="b">
        <v>1</v>
      </c>
      <c r="Y160">
        <v>1799000</v>
      </c>
      <c r="Z160">
        <v>1812295</v>
      </c>
      <c r="AA160" t="b">
        <v>0</v>
      </c>
      <c r="AB160">
        <v>46.7</v>
      </c>
      <c r="AC160">
        <v>48.45</v>
      </c>
      <c r="AD160">
        <v>44.95</v>
      </c>
      <c r="AE160">
        <v>1.094</v>
      </c>
      <c r="AF160">
        <v>0.075</v>
      </c>
      <c r="AG160">
        <v>48.94</v>
      </c>
      <c r="AH160">
        <v>44.88</v>
      </c>
      <c r="AI160" t="b">
        <v>1</v>
      </c>
      <c r="AJ160">
        <v>0.767</v>
      </c>
      <c r="AK160">
        <v>47.63</v>
      </c>
      <c r="AL160">
        <v>45.3</v>
      </c>
      <c r="AM160">
        <v>44.95</v>
      </c>
      <c r="AN160">
        <v>43.41</v>
      </c>
      <c r="AO160">
        <v>47.63</v>
      </c>
      <c r="AP160" t="s">
        <v>280</v>
      </c>
      <c r="AQ160">
        <v>43.41</v>
      </c>
      <c r="AR160">
        <v>53.66</v>
      </c>
      <c r="AS160">
        <v>0.05</v>
      </c>
      <c r="AT160">
        <v>0.07000000000000001</v>
      </c>
      <c r="AU160">
        <v>60</v>
      </c>
      <c r="AV160">
        <v>0.9087527616425427</v>
      </c>
      <c r="AW160">
        <v>4</v>
      </c>
      <c r="AX160">
        <v>5.25</v>
      </c>
      <c r="AY160">
        <v>186</v>
      </c>
      <c r="AZ160">
        <v>1000</v>
      </c>
      <c r="BA160">
        <v>15000</v>
      </c>
      <c r="BD160">
        <v>17.48</v>
      </c>
      <c r="BE160">
        <v>9.380000000000001</v>
      </c>
      <c r="BF160">
        <v>4.1</v>
      </c>
      <c r="BG160">
        <v>0.72</v>
      </c>
      <c r="BH160">
        <v>2.54</v>
      </c>
      <c r="BI160">
        <v>4.82</v>
      </c>
      <c r="BJ160">
        <v>-44.23</v>
      </c>
      <c r="BK160">
        <v>3.01</v>
      </c>
      <c r="BM160">
        <v>-0.29</v>
      </c>
      <c r="BN160" t="s">
        <v>318</v>
      </c>
      <c r="BO160" t="b">
        <v>0</v>
      </c>
      <c r="BP160" s="1">
        <f>IFERROR(RANK.EQ(AX160,AX$2:AX$213,0),"")</f>
        <v>0</v>
      </c>
      <c r="BQ160">
        <f>IFERROR(Y160/Z160,"")</f>
        <v>0</v>
      </c>
      <c r="BR160">
        <f>IFERROR(U160-V160,"")</f>
        <v>0</v>
      </c>
      <c r="BS160">
        <f>IFERROR(U160&gt;V160,"")</f>
        <v>0</v>
      </c>
      <c r="BT160">
        <f>IF(AND(ISNUMBER(D160),ISNUMBER(H160),D160&gt;=H160), OR(O160=TRUE,P160=TRUE), FALSE)</f>
        <v>0</v>
      </c>
      <c r="BU160">
        <f>AND(ISNUMBER(R160), R160&gt;=45, R160&lt;=60, W160=TRUE, E160&gt;=-20)</f>
        <v>0</v>
      </c>
      <c r="BV160">
        <f>OR(AI160=TRUE,AA160=TRUE)</f>
        <v>0</v>
      </c>
      <c r="BW160">
        <f>IFERROR( (AR160-D160) / MAX(D160-AQ160,1E-9) ,"")</f>
        <v>0</v>
      </c>
      <c r="BX160">
        <f>IFERROR(BW160&gt;=2, FALSE)</f>
        <v>0</v>
      </c>
      <c r="BY160" s="1">
        <f>IFERROR(ROUNDDOWN(MIN(IF(BA160&gt;0, BA160/D160, 1E99),IF(AZ160&gt;0, AZ160/MAX(D160-AQ160,1E-9), 1E99)),0),"")</f>
        <v>0</v>
      </c>
      <c r="BZ160" s="2">
        <f>IF(AND(ISNUMBER(D160),ISNUMBER(AT160)), D160*(1-AT160), "")</f>
        <v>0</v>
      </c>
      <c r="CA160">
        <f>AND(BT160=TRUE,BU160=TRUE,BV160=TRUE,BX160=TRUE)</f>
        <v>0</v>
      </c>
    </row>
    <row r="161" spans="1:79" x14ac:dyDescent="0.25">
      <c r="A161" t="s">
        <v>226</v>
      </c>
      <c r="B161">
        <f>HYPERLINK("data/charts/CIGI_TO.png", "Open")</f>
        <v>0</v>
      </c>
      <c r="C161" t="s">
        <v>279</v>
      </c>
      <c r="D161">
        <v>224.67</v>
      </c>
      <c r="E161">
        <v>-0.4</v>
      </c>
      <c r="F161">
        <v>53.24</v>
      </c>
      <c r="G161">
        <v>19.75</v>
      </c>
      <c r="H161">
        <v>187.61</v>
      </c>
      <c r="I161">
        <v>-0.0322</v>
      </c>
      <c r="J161" t="b">
        <v>0</v>
      </c>
      <c r="K161">
        <v>189.92</v>
      </c>
      <c r="L161">
        <v>206.61</v>
      </c>
      <c r="M161">
        <v>207.99</v>
      </c>
      <c r="N161">
        <v>194.82</v>
      </c>
      <c r="O161" t="b">
        <v>1</v>
      </c>
      <c r="P161" t="b">
        <v>1</v>
      </c>
      <c r="Q161" t="b">
        <v>1</v>
      </c>
      <c r="R161">
        <v>81</v>
      </c>
      <c r="S161" t="b">
        <v>0</v>
      </c>
      <c r="T161" t="b">
        <v>0</v>
      </c>
      <c r="U161">
        <v>10.1192</v>
      </c>
      <c r="V161">
        <v>8.9832</v>
      </c>
      <c r="W161" t="b">
        <v>0</v>
      </c>
      <c r="X161" t="b">
        <v>0</v>
      </c>
      <c r="Y161">
        <v>43600</v>
      </c>
      <c r="Z161">
        <v>70305</v>
      </c>
      <c r="AA161" t="b">
        <v>0</v>
      </c>
      <c r="AB161">
        <v>206.61</v>
      </c>
      <c r="AC161">
        <v>231.09</v>
      </c>
      <c r="AD161">
        <v>182.13</v>
      </c>
      <c r="AE161">
        <v>0.869</v>
      </c>
      <c r="AF161">
        <v>0.237</v>
      </c>
      <c r="AG161">
        <v>225.57</v>
      </c>
      <c r="AH161">
        <v>189</v>
      </c>
      <c r="AI161" t="b">
        <v>1</v>
      </c>
      <c r="AJ161">
        <v>5.354</v>
      </c>
      <c r="AK161">
        <v>216.64</v>
      </c>
      <c r="AL161">
        <v>213.13</v>
      </c>
      <c r="AM161">
        <v>182.13</v>
      </c>
      <c r="AN161">
        <v>199.96</v>
      </c>
      <c r="AO161">
        <v>216.64</v>
      </c>
      <c r="AP161" t="s">
        <v>280</v>
      </c>
      <c r="AQ161">
        <v>199.96</v>
      </c>
      <c r="AR161">
        <v>247.14</v>
      </c>
      <c r="AS161">
        <v>0.05</v>
      </c>
      <c r="AT161">
        <v>0.07000000000000001</v>
      </c>
      <c r="AU161">
        <v>60</v>
      </c>
      <c r="AV161">
        <v>0.9093485834124512</v>
      </c>
      <c r="AW161">
        <v>4</v>
      </c>
      <c r="AX161">
        <v>5.25</v>
      </c>
      <c r="AY161">
        <v>40</v>
      </c>
      <c r="AZ161">
        <v>1000</v>
      </c>
      <c r="BA161">
        <v>15000</v>
      </c>
      <c r="BD161">
        <v>72.94</v>
      </c>
      <c r="BE161">
        <v>23.26</v>
      </c>
      <c r="BF161">
        <v>18</v>
      </c>
      <c r="BG161">
        <v>0.13</v>
      </c>
      <c r="BH161">
        <v>0.91</v>
      </c>
      <c r="BI161">
        <v>18.09</v>
      </c>
      <c r="BJ161">
        <v>-194.13</v>
      </c>
      <c r="BK161">
        <v>0.3</v>
      </c>
      <c r="BM161">
        <v>-0.82</v>
      </c>
      <c r="BN161" t="s">
        <v>309</v>
      </c>
      <c r="BO161" t="b">
        <v>0</v>
      </c>
      <c r="BP161" s="1">
        <f>IFERROR(RANK.EQ(AX161,AX$2:AX$213,0),"")</f>
        <v>0</v>
      </c>
      <c r="BQ161">
        <f>IFERROR(Y161/Z161,"")</f>
        <v>0</v>
      </c>
      <c r="BR161">
        <f>IFERROR(U161-V161,"")</f>
        <v>0</v>
      </c>
      <c r="BS161">
        <f>IFERROR(U161&gt;V161,"")</f>
        <v>0</v>
      </c>
      <c r="BT161">
        <f>IF(AND(ISNUMBER(D161),ISNUMBER(H161),D161&gt;=H161), OR(O161=TRUE,P161=TRUE), FALSE)</f>
        <v>0</v>
      </c>
      <c r="BU161">
        <f>AND(ISNUMBER(R161), R161&gt;=45, R161&lt;=60, W161=TRUE, E161&gt;=-20)</f>
        <v>0</v>
      </c>
      <c r="BV161">
        <f>OR(AI161=TRUE,AA161=TRUE)</f>
        <v>0</v>
      </c>
      <c r="BW161">
        <f>IFERROR( (AR161-D161) / MAX(D161-AQ161,1E-9) ,"")</f>
        <v>0</v>
      </c>
      <c r="BX161">
        <f>IFERROR(BW161&gt;=2, FALSE)</f>
        <v>0</v>
      </c>
      <c r="BY161" s="1">
        <f>IFERROR(ROUNDDOWN(MIN(IF(BA161&gt;0, BA161/D161, 1E99),IF(AZ161&gt;0, AZ161/MAX(D161-AQ161,1E-9), 1E99)),0),"")</f>
        <v>0</v>
      </c>
      <c r="BZ161" s="2">
        <f>IF(AND(ISNUMBER(D161),ISNUMBER(AT161)), D161*(1-AT161), "")</f>
        <v>0</v>
      </c>
      <c r="CA161">
        <f>AND(BT161=TRUE,BU161=TRUE,BV161=TRUE,BX161=TRUE)</f>
        <v>0</v>
      </c>
    </row>
    <row r="162" spans="1:79" x14ac:dyDescent="0.25">
      <c r="A162" t="s">
        <v>227</v>
      </c>
      <c r="B162">
        <f>HYPERLINK("data/charts/IFC_TO.png", "Open")</f>
        <v>0</v>
      </c>
      <c r="C162" t="s">
        <v>279</v>
      </c>
      <c r="D162">
        <v>279.17</v>
      </c>
      <c r="E162">
        <v>-12.03</v>
      </c>
      <c r="F162">
        <v>11.91</v>
      </c>
      <c r="G162">
        <v>-1.88</v>
      </c>
      <c r="H162">
        <v>284.53</v>
      </c>
      <c r="I162">
        <v>0.082</v>
      </c>
      <c r="J162" t="b">
        <v>1</v>
      </c>
      <c r="K162">
        <v>301.65</v>
      </c>
      <c r="L162">
        <v>290.64</v>
      </c>
      <c r="M162">
        <v>288.88</v>
      </c>
      <c r="N162">
        <v>296.02</v>
      </c>
      <c r="O162" t="b">
        <v>0</v>
      </c>
      <c r="P162" t="b">
        <v>0</v>
      </c>
      <c r="Q162" t="b">
        <v>0</v>
      </c>
      <c r="R162">
        <v>31.21</v>
      </c>
      <c r="S162" t="b">
        <v>1</v>
      </c>
      <c r="T162" t="b">
        <v>1</v>
      </c>
      <c r="U162">
        <v>-7.3437</v>
      </c>
      <c r="V162">
        <v>-6.3644</v>
      </c>
      <c r="W162" t="b">
        <v>0</v>
      </c>
      <c r="X162" t="b">
        <v>1</v>
      </c>
      <c r="Y162">
        <v>580800</v>
      </c>
      <c r="Z162">
        <v>353740</v>
      </c>
      <c r="AA162" t="b">
        <v>1</v>
      </c>
      <c r="AB162">
        <v>290.64</v>
      </c>
      <c r="AC162">
        <v>312.37</v>
      </c>
      <c r="AD162">
        <v>268.91</v>
      </c>
      <c r="AE162">
        <v>0.236</v>
      </c>
      <c r="AF162">
        <v>0.15</v>
      </c>
      <c r="AG162">
        <v>310.84</v>
      </c>
      <c r="AH162">
        <v>277.36</v>
      </c>
      <c r="AI162" t="b">
        <v>0</v>
      </c>
      <c r="AJ162">
        <v>5.946</v>
      </c>
      <c r="AK162">
        <v>270.25</v>
      </c>
      <c r="AL162">
        <v>277.36</v>
      </c>
      <c r="AM162">
        <v>268.91</v>
      </c>
      <c r="AN162">
        <v>248.46</v>
      </c>
      <c r="AO162">
        <v>277.36</v>
      </c>
      <c r="AP162" t="s">
        <v>282</v>
      </c>
      <c r="AQ162">
        <v>248.46</v>
      </c>
      <c r="AR162">
        <v>307.09</v>
      </c>
      <c r="AS162">
        <v>0.05</v>
      </c>
      <c r="AT162">
        <v>0.07000000000000001</v>
      </c>
      <c r="AU162">
        <v>60</v>
      </c>
      <c r="AV162">
        <v>0.9091492792071175</v>
      </c>
      <c r="AW162">
        <v>3</v>
      </c>
      <c r="AX162">
        <v>5.25</v>
      </c>
      <c r="AY162">
        <v>32</v>
      </c>
      <c r="AZ162">
        <v>1000</v>
      </c>
      <c r="BA162">
        <v>15000</v>
      </c>
      <c r="BD162">
        <v>21.41</v>
      </c>
      <c r="BE162">
        <v>17.03</v>
      </c>
      <c r="BF162">
        <v>1.91</v>
      </c>
      <c r="BG162">
        <v>0.39</v>
      </c>
      <c r="BH162">
        <v>0.28</v>
      </c>
      <c r="BI162">
        <v>0.57</v>
      </c>
      <c r="BJ162">
        <v>27.3</v>
      </c>
      <c r="BK162">
        <v>14.03</v>
      </c>
      <c r="BM162">
        <v>1.37</v>
      </c>
      <c r="BN162" t="s">
        <v>300</v>
      </c>
      <c r="BO162" t="b">
        <v>0</v>
      </c>
      <c r="BP162" s="1">
        <f>IFERROR(RANK.EQ(AX162,AX$2:AX$213,0),"")</f>
        <v>0</v>
      </c>
      <c r="BQ162">
        <f>IFERROR(Y162/Z162,"")</f>
        <v>0</v>
      </c>
      <c r="BR162">
        <f>IFERROR(U162-V162,"")</f>
        <v>0</v>
      </c>
      <c r="BS162">
        <f>IFERROR(U162&gt;V162,"")</f>
        <v>0</v>
      </c>
      <c r="BT162">
        <f>IF(AND(ISNUMBER(D162),ISNUMBER(H162),D162&gt;=H162), OR(O162=TRUE,P162=TRUE), FALSE)</f>
        <v>0</v>
      </c>
      <c r="BU162">
        <f>AND(ISNUMBER(R162), R162&gt;=45, R162&lt;=60, W162=TRUE, E162&gt;=-20)</f>
        <v>0</v>
      </c>
      <c r="BV162">
        <f>OR(AI162=TRUE,AA162=TRUE)</f>
        <v>0</v>
      </c>
      <c r="BW162">
        <f>IFERROR( (AR162-D162) / MAX(D162-AQ162,1E-9) ,"")</f>
        <v>0</v>
      </c>
      <c r="BX162">
        <f>IFERROR(BW162&gt;=2, FALSE)</f>
        <v>0</v>
      </c>
      <c r="BY162" s="1">
        <f>IFERROR(ROUNDDOWN(MIN(IF(BA162&gt;0, BA162/D162, 1E99),IF(AZ162&gt;0, AZ162/MAX(D162-AQ162,1E-9), 1E99)),0),"")</f>
        <v>0</v>
      </c>
      <c r="BZ162" s="2">
        <f>IF(AND(ISNUMBER(D162),ISNUMBER(AT162)), D162*(1-AT162), "")</f>
        <v>0</v>
      </c>
      <c r="CA162">
        <f>AND(BT162=TRUE,BU162=TRUE,BV162=TRUE,BX162=TRUE)</f>
        <v>0</v>
      </c>
    </row>
    <row r="163" spans="1:79" x14ac:dyDescent="0.25">
      <c r="A163" t="s">
        <v>228</v>
      </c>
      <c r="B163">
        <f>HYPERLINK("data/charts/PSI_TO.png", "Open")</f>
        <v>0</v>
      </c>
      <c r="C163" t="s">
        <v>279</v>
      </c>
      <c r="D163">
        <v>11.2</v>
      </c>
      <c r="E163">
        <v>-27.6</v>
      </c>
      <c r="F163">
        <v>7.38</v>
      </c>
      <c r="G163">
        <v>-13</v>
      </c>
      <c r="H163">
        <v>12.87</v>
      </c>
      <c r="I163">
        <v>-0.0534</v>
      </c>
      <c r="J163" t="b">
        <v>0</v>
      </c>
      <c r="K163">
        <v>12.25</v>
      </c>
      <c r="L163">
        <v>11.73</v>
      </c>
      <c r="M163">
        <v>11.79</v>
      </c>
      <c r="N163">
        <v>12.02</v>
      </c>
      <c r="O163" t="b">
        <v>0</v>
      </c>
      <c r="P163" t="b">
        <v>0</v>
      </c>
      <c r="Q163" t="b">
        <v>0</v>
      </c>
      <c r="R163">
        <v>33.91</v>
      </c>
      <c r="S163" t="b">
        <v>1</v>
      </c>
      <c r="T163" t="b">
        <v>0</v>
      </c>
      <c r="U163">
        <v>-0.2122</v>
      </c>
      <c r="V163">
        <v>-0.1856</v>
      </c>
      <c r="W163" t="b">
        <v>1</v>
      </c>
      <c r="X163" t="b">
        <v>0</v>
      </c>
      <c r="Y163">
        <v>210600</v>
      </c>
      <c r="Z163">
        <v>161325</v>
      </c>
      <c r="AA163" t="b">
        <v>0</v>
      </c>
      <c r="AB163">
        <v>11.73</v>
      </c>
      <c r="AC163">
        <v>12.13</v>
      </c>
      <c r="AD163">
        <v>11.33</v>
      </c>
      <c r="AE163">
        <v>-0.156</v>
      </c>
      <c r="AF163">
        <v>0.06900000000000001</v>
      </c>
      <c r="AG163">
        <v>12.21</v>
      </c>
      <c r="AH163">
        <v>11.19</v>
      </c>
      <c r="AI163" t="b">
        <v>0</v>
      </c>
      <c r="AJ163">
        <v>0.286</v>
      </c>
      <c r="AK163">
        <v>10.77</v>
      </c>
      <c r="AL163">
        <v>11.26</v>
      </c>
      <c r="AM163">
        <v>11.33</v>
      </c>
      <c r="AN163">
        <v>9.970000000000001</v>
      </c>
      <c r="AO163">
        <v>10.77</v>
      </c>
      <c r="AP163" t="s">
        <v>280</v>
      </c>
      <c r="AQ163">
        <v>9.970000000000001</v>
      </c>
      <c r="AR163">
        <v>12.32</v>
      </c>
      <c r="AS163">
        <v>0.05</v>
      </c>
      <c r="AT163">
        <v>0.07000000000000001</v>
      </c>
      <c r="AU163">
        <v>60</v>
      </c>
      <c r="AV163">
        <v>0.9105694019611338</v>
      </c>
      <c r="AW163">
        <v>3</v>
      </c>
      <c r="AX163">
        <v>5.25</v>
      </c>
      <c r="AY163">
        <v>813</v>
      </c>
      <c r="AZ163">
        <v>1000</v>
      </c>
      <c r="BA163">
        <v>15000</v>
      </c>
      <c r="BD163">
        <v>12.04</v>
      </c>
      <c r="BE163">
        <v>9.82</v>
      </c>
      <c r="BF163">
        <v>4.64</v>
      </c>
      <c r="BG163">
        <v>0.5600000000000001</v>
      </c>
      <c r="BH163">
        <v>0.03</v>
      </c>
      <c r="BI163">
        <v>-14.81</v>
      </c>
      <c r="BJ163">
        <v>-36</v>
      </c>
      <c r="BK163">
        <v>13.12</v>
      </c>
      <c r="BM163">
        <v>0.75</v>
      </c>
      <c r="BN163" t="s">
        <v>305</v>
      </c>
      <c r="BO163" t="b">
        <v>0</v>
      </c>
      <c r="BP163" s="1">
        <f>IFERROR(RANK.EQ(AX163,AX$2:AX$213,0),"")</f>
        <v>0</v>
      </c>
      <c r="BQ163">
        <f>IFERROR(Y163/Z163,"")</f>
        <v>0</v>
      </c>
      <c r="BR163">
        <f>IFERROR(U163-V163,"")</f>
        <v>0</v>
      </c>
      <c r="BS163">
        <f>IFERROR(U163&gt;V163,"")</f>
        <v>0</v>
      </c>
      <c r="BT163">
        <f>IF(AND(ISNUMBER(D163),ISNUMBER(H163),D163&gt;=H163), OR(O163=TRUE,P163=TRUE), FALSE)</f>
        <v>0</v>
      </c>
      <c r="BU163">
        <f>AND(ISNUMBER(R163), R163&gt;=45, R163&lt;=60, W163=TRUE, E163&gt;=-20)</f>
        <v>0</v>
      </c>
      <c r="BV163">
        <f>OR(AI163=TRUE,AA163=TRUE)</f>
        <v>0</v>
      </c>
      <c r="BW163">
        <f>IFERROR( (AR163-D163) / MAX(D163-AQ163,1E-9) ,"")</f>
        <v>0</v>
      </c>
      <c r="BX163">
        <f>IFERROR(BW163&gt;=2, FALSE)</f>
        <v>0</v>
      </c>
      <c r="BY163" s="1">
        <f>IFERROR(ROUNDDOWN(MIN(IF(BA163&gt;0, BA163/D163, 1E99),IF(AZ163&gt;0, AZ163/MAX(D163-AQ163,1E-9), 1E99)),0),"")</f>
        <v>0</v>
      </c>
      <c r="BZ163" s="2">
        <f>IF(AND(ISNUMBER(D163),ISNUMBER(AT163)), D163*(1-AT163), "")</f>
        <v>0</v>
      </c>
      <c r="CA163">
        <f>AND(BT163=TRUE,BU163=TRUE,BV163=TRUE,BX163=TRUE)</f>
        <v>0</v>
      </c>
    </row>
    <row r="164" spans="1:79" x14ac:dyDescent="0.25">
      <c r="A164" t="s">
        <v>229</v>
      </c>
      <c r="B164">
        <f>HYPERLINK("data/charts/AGI_TO.png", "Open")</f>
        <v>0</v>
      </c>
      <c r="C164" t="s">
        <v>279</v>
      </c>
      <c r="D164">
        <v>35.88</v>
      </c>
      <c r="E164">
        <v>-16.5</v>
      </c>
      <c r="F164">
        <v>47.23</v>
      </c>
      <c r="G164">
        <v>8.380000000000001</v>
      </c>
      <c r="H164">
        <v>33.11</v>
      </c>
      <c r="I164">
        <v>0.1341</v>
      </c>
      <c r="J164" t="b">
        <v>1</v>
      </c>
      <c r="K164">
        <v>35.99</v>
      </c>
      <c r="L164">
        <v>35.38</v>
      </c>
      <c r="M164">
        <v>35.59</v>
      </c>
      <c r="N164">
        <v>35.8</v>
      </c>
      <c r="O164" t="b">
        <v>1</v>
      </c>
      <c r="P164" t="b">
        <v>1</v>
      </c>
      <c r="Q164" t="b">
        <v>1</v>
      </c>
      <c r="R164">
        <v>51.75</v>
      </c>
      <c r="S164" t="b">
        <v>0</v>
      </c>
      <c r="T164" t="b">
        <v>0</v>
      </c>
      <c r="U164">
        <v>-0.0538</v>
      </c>
      <c r="V164">
        <v>-0.1178</v>
      </c>
      <c r="W164" t="b">
        <v>0</v>
      </c>
      <c r="X164" t="b">
        <v>1</v>
      </c>
      <c r="Y164">
        <v>902800</v>
      </c>
      <c r="Z164">
        <v>1083705</v>
      </c>
      <c r="AA164" t="b">
        <v>0</v>
      </c>
      <c r="AB164">
        <v>35.38</v>
      </c>
      <c r="AC164">
        <v>36.8</v>
      </c>
      <c r="AD164">
        <v>33.96</v>
      </c>
      <c r="AE164">
        <v>0.678</v>
      </c>
      <c r="AF164">
        <v>0.08</v>
      </c>
      <c r="AG164">
        <v>36.75</v>
      </c>
      <c r="AH164">
        <v>33.11</v>
      </c>
      <c r="AI164" t="b">
        <v>0</v>
      </c>
      <c r="AJ164">
        <v>1.056</v>
      </c>
      <c r="AK164">
        <v>34.3</v>
      </c>
      <c r="AL164">
        <v>34.89</v>
      </c>
      <c r="AM164">
        <v>33.96</v>
      </c>
      <c r="AN164">
        <v>31.93</v>
      </c>
      <c r="AO164">
        <v>34.89</v>
      </c>
      <c r="AP164" t="s">
        <v>282</v>
      </c>
      <c r="AQ164">
        <v>31.93</v>
      </c>
      <c r="AR164">
        <v>39.47</v>
      </c>
      <c r="AS164">
        <v>0.05</v>
      </c>
      <c r="AT164">
        <v>0.07000000000000001</v>
      </c>
      <c r="AU164">
        <v>60</v>
      </c>
      <c r="AV164">
        <v>0.9088602433208335</v>
      </c>
      <c r="AW164">
        <v>3</v>
      </c>
      <c r="AX164">
        <v>5.25</v>
      </c>
      <c r="AY164">
        <v>253</v>
      </c>
      <c r="AZ164">
        <v>1000</v>
      </c>
      <c r="BA164">
        <v>15000</v>
      </c>
      <c r="BD164">
        <v>31.75</v>
      </c>
      <c r="BE164">
        <v>23.45</v>
      </c>
      <c r="BF164">
        <v>38</v>
      </c>
      <c r="BG164">
        <v>0.12</v>
      </c>
      <c r="BH164">
        <v>0.07000000000000001</v>
      </c>
      <c r="BI164">
        <v>31.59</v>
      </c>
      <c r="BJ164">
        <v>948.6799999999999</v>
      </c>
      <c r="BK164">
        <v>36.38</v>
      </c>
      <c r="BM164">
        <v>0.25</v>
      </c>
      <c r="BN164" t="s">
        <v>285</v>
      </c>
      <c r="BO164" t="b">
        <v>0</v>
      </c>
      <c r="BP164" s="1">
        <f>IFERROR(RANK.EQ(AX164,AX$2:AX$213,0),"")</f>
        <v>0</v>
      </c>
      <c r="BQ164">
        <f>IFERROR(Y164/Z164,"")</f>
        <v>0</v>
      </c>
      <c r="BR164">
        <f>IFERROR(U164-V164,"")</f>
        <v>0</v>
      </c>
      <c r="BS164">
        <f>IFERROR(U164&gt;V164,"")</f>
        <v>0</v>
      </c>
      <c r="BT164">
        <f>IF(AND(ISNUMBER(D164),ISNUMBER(H164),D164&gt;=H164), OR(O164=TRUE,P164=TRUE), FALSE)</f>
        <v>0</v>
      </c>
      <c r="BU164">
        <f>AND(ISNUMBER(R164), R164&gt;=45, R164&lt;=60, W164=TRUE, E164&gt;=-20)</f>
        <v>0</v>
      </c>
      <c r="BV164">
        <f>OR(AI164=TRUE,AA164=TRUE)</f>
        <v>0</v>
      </c>
      <c r="BW164">
        <f>IFERROR( (AR164-D164) / MAX(D164-AQ164,1E-9) ,"")</f>
        <v>0</v>
      </c>
      <c r="BX164">
        <f>IFERROR(BW164&gt;=2, FALSE)</f>
        <v>0</v>
      </c>
      <c r="BY164" s="1">
        <f>IFERROR(ROUNDDOWN(MIN(IF(BA164&gt;0, BA164/D164, 1E99),IF(AZ164&gt;0, AZ164/MAX(D164-AQ164,1E-9), 1E99)),0),"")</f>
        <v>0</v>
      </c>
      <c r="BZ164" s="2">
        <f>IF(AND(ISNUMBER(D164),ISNUMBER(AT164)), D164*(1-AT164), "")</f>
        <v>0</v>
      </c>
      <c r="CA164">
        <f>AND(BT164=TRUE,BU164=TRUE,BV164=TRUE,BX164=TRUE)</f>
        <v>0</v>
      </c>
    </row>
    <row r="165" spans="1:79" x14ac:dyDescent="0.25">
      <c r="A165" t="s">
        <v>230</v>
      </c>
      <c r="B165">
        <f>HYPERLINK("data/charts/STT.png", "Open")</f>
        <v>0</v>
      </c>
      <c r="C165" t="s">
        <v>279</v>
      </c>
      <c r="D165">
        <v>111.07</v>
      </c>
      <c r="E165">
        <v>-2.81</v>
      </c>
      <c r="F165">
        <v>52.55</v>
      </c>
      <c r="G165">
        <v>14.2</v>
      </c>
      <c r="H165">
        <v>97.26000000000001</v>
      </c>
      <c r="I165">
        <v>0.1055</v>
      </c>
      <c r="J165" t="b">
        <v>1</v>
      </c>
      <c r="K165">
        <v>106.63</v>
      </c>
      <c r="L165">
        <v>111.02</v>
      </c>
      <c r="M165">
        <v>110.35</v>
      </c>
      <c r="N165">
        <v>106.71</v>
      </c>
      <c r="O165" t="b">
        <v>1</v>
      </c>
      <c r="P165" t="b">
        <v>1</v>
      </c>
      <c r="Q165" t="b">
        <v>1</v>
      </c>
      <c r="R165">
        <v>54.09</v>
      </c>
      <c r="S165" t="b">
        <v>0</v>
      </c>
      <c r="T165" t="b">
        <v>0</v>
      </c>
      <c r="U165">
        <v>1.3216</v>
      </c>
      <c r="V165">
        <v>1.5312</v>
      </c>
      <c r="W165" t="b">
        <v>0</v>
      </c>
      <c r="X165" t="b">
        <v>1</v>
      </c>
      <c r="Y165">
        <v>1291700</v>
      </c>
      <c r="Z165">
        <v>1727815</v>
      </c>
      <c r="AA165" t="b">
        <v>0</v>
      </c>
      <c r="AB165">
        <v>111.02</v>
      </c>
      <c r="AC165">
        <v>114</v>
      </c>
      <c r="AD165">
        <v>108.04</v>
      </c>
      <c r="AE165">
        <v>0.508</v>
      </c>
      <c r="AF165">
        <v>0.054</v>
      </c>
      <c r="AG165">
        <v>114.28</v>
      </c>
      <c r="AH165">
        <v>107.34</v>
      </c>
      <c r="AI165" t="b">
        <v>0</v>
      </c>
      <c r="AJ165">
        <v>1.959</v>
      </c>
      <c r="AK165">
        <v>108.13</v>
      </c>
      <c r="AL165">
        <v>109.52</v>
      </c>
      <c r="AM165">
        <v>108.04</v>
      </c>
      <c r="AN165">
        <v>98.84999999999999</v>
      </c>
      <c r="AO165">
        <v>109.52</v>
      </c>
      <c r="AP165" t="s">
        <v>282</v>
      </c>
      <c r="AQ165">
        <v>98.84999999999999</v>
      </c>
      <c r="AR165">
        <v>122.18</v>
      </c>
      <c r="AS165">
        <v>0.05</v>
      </c>
      <c r="AT165">
        <v>0.07000000000000001</v>
      </c>
      <c r="AU165">
        <v>60</v>
      </c>
      <c r="AV165">
        <v>0.9091653504608044</v>
      </c>
      <c r="AW165">
        <v>3</v>
      </c>
      <c r="AX165">
        <v>5.25</v>
      </c>
      <c r="AY165">
        <v>81</v>
      </c>
      <c r="AZ165">
        <v>1000</v>
      </c>
      <c r="BA165">
        <v>15000</v>
      </c>
      <c r="BD165">
        <v>12.48</v>
      </c>
      <c r="BE165">
        <v>11.89</v>
      </c>
      <c r="BF165">
        <v>3.03</v>
      </c>
      <c r="BG165">
        <v>0.34</v>
      </c>
      <c r="BH165">
        <v>1.31</v>
      </c>
      <c r="BI165">
        <v>5.63</v>
      </c>
      <c r="BJ165">
        <v>6.28</v>
      </c>
      <c r="BK165">
        <v>19.98</v>
      </c>
      <c r="BM165">
        <v>-4.99</v>
      </c>
      <c r="BN165" t="s">
        <v>285</v>
      </c>
      <c r="BO165" t="b">
        <v>0</v>
      </c>
      <c r="BP165" s="1">
        <f>IFERROR(RANK.EQ(AX165,AX$2:AX$213,0),"")</f>
        <v>0</v>
      </c>
      <c r="BQ165">
        <f>IFERROR(Y165/Z165,"")</f>
        <v>0</v>
      </c>
      <c r="BR165">
        <f>IFERROR(U165-V165,"")</f>
        <v>0</v>
      </c>
      <c r="BS165">
        <f>IFERROR(U165&gt;V165,"")</f>
        <v>0</v>
      </c>
      <c r="BT165">
        <f>IF(AND(ISNUMBER(D165),ISNUMBER(H165),D165&gt;=H165), OR(O165=TRUE,P165=TRUE), FALSE)</f>
        <v>0</v>
      </c>
      <c r="BU165">
        <f>AND(ISNUMBER(R165), R165&gt;=45, R165&lt;=60, W165=TRUE, E165&gt;=-20)</f>
        <v>0</v>
      </c>
      <c r="BV165">
        <f>OR(AI165=TRUE,AA165=TRUE)</f>
        <v>0</v>
      </c>
      <c r="BW165">
        <f>IFERROR( (AR165-D165) / MAX(D165-AQ165,1E-9) ,"")</f>
        <v>0</v>
      </c>
      <c r="BX165">
        <f>IFERROR(BW165&gt;=2, FALSE)</f>
        <v>0</v>
      </c>
      <c r="BY165" s="1">
        <f>IFERROR(ROUNDDOWN(MIN(IF(BA165&gt;0, BA165/D165, 1E99),IF(AZ165&gt;0, AZ165/MAX(D165-AQ165,1E-9), 1E99)),0),"")</f>
        <v>0</v>
      </c>
      <c r="BZ165" s="2">
        <f>IF(AND(ISNUMBER(D165),ISNUMBER(AT165)), D165*(1-AT165), "")</f>
        <v>0</v>
      </c>
      <c r="CA165">
        <f>AND(BT165=TRUE,BU165=TRUE,BV165=TRUE,BX165=TRUE)</f>
        <v>0</v>
      </c>
    </row>
    <row r="166" spans="1:79" x14ac:dyDescent="0.25">
      <c r="A166" t="s">
        <v>231</v>
      </c>
      <c r="B166">
        <f>HYPERLINK("data/charts/MU.png", "Open")</f>
        <v>0</v>
      </c>
      <c r="C166" t="s">
        <v>279</v>
      </c>
      <c r="D166">
        <v>120.87</v>
      </c>
      <c r="E166">
        <v>-6.92</v>
      </c>
      <c r="F166">
        <v>96.41</v>
      </c>
      <c r="G166">
        <v>21.44</v>
      </c>
      <c r="H166">
        <v>99.53</v>
      </c>
      <c r="I166">
        <v>0.1029</v>
      </c>
      <c r="J166" t="b">
        <v>1</v>
      </c>
      <c r="K166">
        <v>117.44</v>
      </c>
      <c r="L166">
        <v>114.28</v>
      </c>
      <c r="M166">
        <v>117.15</v>
      </c>
      <c r="N166">
        <v>113.36</v>
      </c>
      <c r="O166" t="b">
        <v>1</v>
      </c>
      <c r="P166" t="b">
        <v>1</v>
      </c>
      <c r="Q166" t="b">
        <v>1</v>
      </c>
      <c r="R166">
        <v>55.96</v>
      </c>
      <c r="S166" t="b">
        <v>0</v>
      </c>
      <c r="T166" t="b">
        <v>0</v>
      </c>
      <c r="U166">
        <v>2.251</v>
      </c>
      <c r="V166">
        <v>0.7192</v>
      </c>
      <c r="W166" t="b">
        <v>0</v>
      </c>
      <c r="X166" t="b">
        <v>0</v>
      </c>
      <c r="Y166">
        <v>18965400</v>
      </c>
      <c r="Z166">
        <v>20401425</v>
      </c>
      <c r="AA166" t="b">
        <v>0</v>
      </c>
      <c r="AB166">
        <v>114.28</v>
      </c>
      <c r="AC166">
        <v>127.34</v>
      </c>
      <c r="AD166">
        <v>101.21</v>
      </c>
      <c r="AE166">
        <v>0.752</v>
      </c>
      <c r="AF166">
        <v>0.229</v>
      </c>
      <c r="AG166">
        <v>128.6</v>
      </c>
      <c r="AH166">
        <v>103.38</v>
      </c>
      <c r="AI166" t="b">
        <v>0</v>
      </c>
      <c r="AJ166">
        <v>4.219</v>
      </c>
      <c r="AK166">
        <v>114.54</v>
      </c>
      <c r="AL166">
        <v>103.38</v>
      </c>
      <c r="AM166">
        <v>101.21</v>
      </c>
      <c r="AN166">
        <v>107.57</v>
      </c>
      <c r="AO166">
        <v>114.54</v>
      </c>
      <c r="AP166" t="s">
        <v>280</v>
      </c>
      <c r="AQ166">
        <v>107.57</v>
      </c>
      <c r="AR166">
        <v>132.96</v>
      </c>
      <c r="AS166">
        <v>0.05</v>
      </c>
      <c r="AT166">
        <v>0.07000000000000001</v>
      </c>
      <c r="AU166">
        <v>60</v>
      </c>
      <c r="AV166">
        <v>0.9090221621589499</v>
      </c>
      <c r="AW166">
        <v>3</v>
      </c>
      <c r="AX166">
        <v>5.25</v>
      </c>
      <c r="AY166">
        <v>75</v>
      </c>
      <c r="AZ166">
        <v>1000</v>
      </c>
      <c r="BA166">
        <v>15000</v>
      </c>
      <c r="BD166">
        <v>21.78</v>
      </c>
      <c r="BE166">
        <v>9.390000000000001</v>
      </c>
      <c r="BF166">
        <v>38</v>
      </c>
      <c r="BG166">
        <v>0.08</v>
      </c>
      <c r="BH166">
        <v>0.32</v>
      </c>
      <c r="BI166">
        <v>15.5</v>
      </c>
      <c r="BJ166">
        <v>19.01</v>
      </c>
      <c r="BK166">
        <v>20.27</v>
      </c>
      <c r="BM166">
        <v>0.05</v>
      </c>
      <c r="BN166" t="s">
        <v>285</v>
      </c>
      <c r="BO166" t="b">
        <v>0</v>
      </c>
      <c r="BP166" s="1">
        <f>IFERROR(RANK.EQ(AX166,AX$2:AX$213,0),"")</f>
        <v>0</v>
      </c>
      <c r="BQ166">
        <f>IFERROR(Y166/Z166,"")</f>
        <v>0</v>
      </c>
      <c r="BR166">
        <f>IFERROR(U166-V166,"")</f>
        <v>0</v>
      </c>
      <c r="BS166">
        <f>IFERROR(U166&gt;V166,"")</f>
        <v>0</v>
      </c>
      <c r="BT166">
        <f>IF(AND(ISNUMBER(D166),ISNUMBER(H166),D166&gt;=H166), OR(O166=TRUE,P166=TRUE), FALSE)</f>
        <v>0</v>
      </c>
      <c r="BU166">
        <f>AND(ISNUMBER(R166), R166&gt;=45, R166&lt;=60, W166=TRUE, E166&gt;=-20)</f>
        <v>0</v>
      </c>
      <c r="BV166">
        <f>OR(AI166=TRUE,AA166=TRUE)</f>
        <v>0</v>
      </c>
      <c r="BW166">
        <f>IFERROR( (AR166-D166) / MAX(D166-AQ166,1E-9) ,"")</f>
        <v>0</v>
      </c>
      <c r="BX166">
        <f>IFERROR(BW166&gt;=2, FALSE)</f>
        <v>0</v>
      </c>
      <c r="BY166" s="1">
        <f>IFERROR(ROUNDDOWN(MIN(IF(BA166&gt;0, BA166/D166, 1E99),IF(AZ166&gt;0, AZ166/MAX(D166-AQ166,1E-9), 1E99)),0),"")</f>
        <v>0</v>
      </c>
      <c r="BZ166" s="2">
        <f>IF(AND(ISNUMBER(D166),ISNUMBER(AT166)), D166*(1-AT166), "")</f>
        <v>0</v>
      </c>
      <c r="CA166">
        <f>AND(BT166=TRUE,BU166=TRUE,BV166=TRUE,BX166=TRUE)</f>
        <v>0</v>
      </c>
    </row>
    <row r="167" spans="1:79" x14ac:dyDescent="0.25">
      <c r="A167" t="s">
        <v>232</v>
      </c>
      <c r="B167">
        <f>HYPERLINK("data/charts/TAP.png", "Open")</f>
        <v>0</v>
      </c>
      <c r="C167" t="s">
        <v>279</v>
      </c>
      <c r="D167">
        <v>51.42</v>
      </c>
      <c r="E167">
        <v>-20.48</v>
      </c>
      <c r="F167">
        <v>9.539999999999999</v>
      </c>
      <c r="G167">
        <v>-8.17</v>
      </c>
      <c r="H167">
        <v>56</v>
      </c>
      <c r="I167">
        <v>-0.0502</v>
      </c>
      <c r="J167" t="b">
        <v>0</v>
      </c>
      <c r="K167">
        <v>49.9</v>
      </c>
      <c r="L167">
        <v>50.32</v>
      </c>
      <c r="M167">
        <v>50.35</v>
      </c>
      <c r="N167">
        <v>50.9</v>
      </c>
      <c r="O167" t="b">
        <v>1</v>
      </c>
      <c r="P167" t="b">
        <v>1</v>
      </c>
      <c r="Q167" t="b">
        <v>1</v>
      </c>
      <c r="R167">
        <v>56.71</v>
      </c>
      <c r="S167" t="b">
        <v>0</v>
      </c>
      <c r="T167" t="b">
        <v>0</v>
      </c>
      <c r="U167">
        <v>0.2609</v>
      </c>
      <c r="V167">
        <v>0.0186</v>
      </c>
      <c r="W167" t="b">
        <v>0</v>
      </c>
      <c r="X167" t="b">
        <v>1</v>
      </c>
      <c r="Y167">
        <v>1514100</v>
      </c>
      <c r="Z167">
        <v>2830480</v>
      </c>
      <c r="AA167" t="b">
        <v>0</v>
      </c>
      <c r="AB167">
        <v>50.32</v>
      </c>
      <c r="AC167">
        <v>52.5</v>
      </c>
      <c r="AD167">
        <v>48.14</v>
      </c>
      <c r="AE167">
        <v>0.752</v>
      </c>
      <c r="AF167">
        <v>0.08699999999999999</v>
      </c>
      <c r="AG167">
        <v>52.15</v>
      </c>
      <c r="AH167">
        <v>47.95</v>
      </c>
      <c r="AI167" t="b">
        <v>0</v>
      </c>
      <c r="AJ167">
        <v>1.354</v>
      </c>
      <c r="AK167">
        <v>49.39</v>
      </c>
      <c r="AL167">
        <v>47.95</v>
      </c>
      <c r="AM167">
        <v>48.14</v>
      </c>
      <c r="AN167">
        <v>45.76</v>
      </c>
      <c r="AO167">
        <v>49.39</v>
      </c>
      <c r="AP167" t="s">
        <v>280</v>
      </c>
      <c r="AQ167">
        <v>45.76</v>
      </c>
      <c r="AR167">
        <v>56.56</v>
      </c>
      <c r="AS167">
        <v>0.05</v>
      </c>
      <c r="AT167">
        <v>0.07000000000000001</v>
      </c>
      <c r="AU167">
        <v>60</v>
      </c>
      <c r="AV167">
        <v>0.9081278257749824</v>
      </c>
      <c r="AW167">
        <v>3</v>
      </c>
      <c r="AX167">
        <v>5.25</v>
      </c>
      <c r="AY167">
        <v>176</v>
      </c>
      <c r="AZ167">
        <v>1000</v>
      </c>
      <c r="BA167">
        <v>15000</v>
      </c>
      <c r="BD167">
        <v>10.14</v>
      </c>
      <c r="BE167">
        <v>8.67</v>
      </c>
      <c r="BF167">
        <v>3.66</v>
      </c>
      <c r="BG167">
        <v>0.36</v>
      </c>
      <c r="BH167">
        <v>0.46</v>
      </c>
      <c r="BI167">
        <v>38.92</v>
      </c>
      <c r="BJ167">
        <v>256.67</v>
      </c>
      <c r="BK167">
        <v>13.39</v>
      </c>
      <c r="BM167">
        <v>25.36</v>
      </c>
      <c r="BN167" t="s">
        <v>285</v>
      </c>
      <c r="BO167" t="b">
        <v>0</v>
      </c>
      <c r="BP167" s="1">
        <f>IFERROR(RANK.EQ(AX167,AX$2:AX$213,0),"")</f>
        <v>0</v>
      </c>
      <c r="BQ167">
        <f>IFERROR(Y167/Z167,"")</f>
        <v>0</v>
      </c>
      <c r="BR167">
        <f>IFERROR(U167-V167,"")</f>
        <v>0</v>
      </c>
      <c r="BS167">
        <f>IFERROR(U167&gt;V167,"")</f>
        <v>0</v>
      </c>
      <c r="BT167">
        <f>IF(AND(ISNUMBER(D167),ISNUMBER(H167),D167&gt;=H167), OR(O167=TRUE,P167=TRUE), FALSE)</f>
        <v>0</v>
      </c>
      <c r="BU167">
        <f>AND(ISNUMBER(R167), R167&gt;=45, R167&lt;=60, W167=TRUE, E167&gt;=-20)</f>
        <v>0</v>
      </c>
      <c r="BV167">
        <f>OR(AI167=TRUE,AA167=TRUE)</f>
        <v>0</v>
      </c>
      <c r="BW167">
        <f>IFERROR( (AR167-D167) / MAX(D167-AQ167,1E-9) ,"")</f>
        <v>0</v>
      </c>
      <c r="BX167">
        <f>IFERROR(BW167&gt;=2, FALSE)</f>
        <v>0</v>
      </c>
      <c r="BY167" s="1">
        <f>IFERROR(ROUNDDOWN(MIN(IF(BA167&gt;0, BA167/D167, 1E99),IF(AZ167&gt;0, AZ167/MAX(D167-AQ167,1E-9), 1E99)),0),"")</f>
        <v>0</v>
      </c>
      <c r="BZ167" s="2">
        <f>IF(AND(ISNUMBER(D167),ISNUMBER(AT167)), D167*(1-AT167), "")</f>
        <v>0</v>
      </c>
      <c r="CA167">
        <f>AND(BT167=TRUE,BU167=TRUE,BV167=TRUE,BX167=TRUE)</f>
        <v>0</v>
      </c>
    </row>
    <row r="168" spans="1:79" x14ac:dyDescent="0.25">
      <c r="A168" t="s">
        <v>233</v>
      </c>
      <c r="B168">
        <f>HYPERLINK("data/charts/MLM.png", "Open")</f>
        <v>0</v>
      </c>
      <c r="C168" t="s">
        <v>279</v>
      </c>
      <c r="D168">
        <v>609.58</v>
      </c>
      <c r="E168">
        <v>-3.73</v>
      </c>
      <c r="F168">
        <v>37.93</v>
      </c>
      <c r="G168">
        <v>12.66</v>
      </c>
      <c r="H168">
        <v>541.0599999999999</v>
      </c>
      <c r="I168">
        <v>0.0299</v>
      </c>
      <c r="J168" t="b">
        <v>1</v>
      </c>
      <c r="K168">
        <v>567.76</v>
      </c>
      <c r="L168">
        <v>591.83</v>
      </c>
      <c r="M168">
        <v>593.1</v>
      </c>
      <c r="N168">
        <v>573.24</v>
      </c>
      <c r="O168" t="b">
        <v>1</v>
      </c>
      <c r="P168" t="b">
        <v>1</v>
      </c>
      <c r="Q168" t="b">
        <v>1</v>
      </c>
      <c r="R168">
        <v>61.88</v>
      </c>
      <c r="S168" t="b">
        <v>0</v>
      </c>
      <c r="T168" t="b">
        <v>0</v>
      </c>
      <c r="U168">
        <v>13.9574</v>
      </c>
      <c r="V168">
        <v>12.5786</v>
      </c>
      <c r="W168" t="b">
        <v>0</v>
      </c>
      <c r="X168" t="b">
        <v>1</v>
      </c>
      <c r="Y168">
        <v>302900</v>
      </c>
      <c r="Z168">
        <v>425725</v>
      </c>
      <c r="AA168" t="b">
        <v>0</v>
      </c>
      <c r="AB168">
        <v>591.83</v>
      </c>
      <c r="AC168">
        <v>625.98</v>
      </c>
      <c r="AD168">
        <v>557.6799999999999</v>
      </c>
      <c r="AE168">
        <v>0.76</v>
      </c>
      <c r="AF168">
        <v>0.115</v>
      </c>
      <c r="AG168">
        <v>620.8099999999999</v>
      </c>
      <c r="AH168">
        <v>560.13</v>
      </c>
      <c r="AI168" t="b">
        <v>0</v>
      </c>
      <c r="AJ168">
        <v>13.009</v>
      </c>
      <c r="AK168">
        <v>590.0700000000001</v>
      </c>
      <c r="AL168">
        <v>590.35</v>
      </c>
      <c r="AM168">
        <v>557.6799999999999</v>
      </c>
      <c r="AN168">
        <v>542.53</v>
      </c>
      <c r="AO168">
        <v>590.35</v>
      </c>
      <c r="AP168" t="s">
        <v>282</v>
      </c>
      <c r="AQ168">
        <v>542.53</v>
      </c>
      <c r="AR168">
        <v>670.54</v>
      </c>
      <c r="AS168">
        <v>0.05</v>
      </c>
      <c r="AT168">
        <v>0.07000000000000001</v>
      </c>
      <c r="AU168">
        <v>60</v>
      </c>
      <c r="AV168">
        <v>0.9091717728941484</v>
      </c>
      <c r="AW168">
        <v>3</v>
      </c>
      <c r="AX168">
        <v>5.25</v>
      </c>
      <c r="AY168">
        <v>14</v>
      </c>
      <c r="AZ168">
        <v>1000</v>
      </c>
      <c r="BA168">
        <v>15000</v>
      </c>
      <c r="BD168">
        <v>33.79</v>
      </c>
      <c r="BE168">
        <v>29.25</v>
      </c>
      <c r="BF168">
        <v>54</v>
      </c>
      <c r="BG168">
        <v>0.17</v>
      </c>
      <c r="BH168">
        <v>0.62</v>
      </c>
      <c r="BI168">
        <v>33.85</v>
      </c>
      <c r="BJ168">
        <v>184.82</v>
      </c>
      <c r="BK168">
        <v>18.11</v>
      </c>
      <c r="BM168">
        <v>2.91</v>
      </c>
      <c r="BN168" t="s">
        <v>285</v>
      </c>
      <c r="BO168" t="b">
        <v>0</v>
      </c>
      <c r="BP168" s="1">
        <f>IFERROR(RANK.EQ(AX168,AX$2:AX$213,0),"")</f>
        <v>0</v>
      </c>
      <c r="BQ168">
        <f>IFERROR(Y168/Z168,"")</f>
        <v>0</v>
      </c>
      <c r="BR168">
        <f>IFERROR(U168-V168,"")</f>
        <v>0</v>
      </c>
      <c r="BS168">
        <f>IFERROR(U168&gt;V168,"")</f>
        <v>0</v>
      </c>
      <c r="BT168">
        <f>IF(AND(ISNUMBER(D168),ISNUMBER(H168),D168&gt;=H168), OR(O168=TRUE,P168=TRUE), FALSE)</f>
        <v>0</v>
      </c>
      <c r="BU168">
        <f>AND(ISNUMBER(R168), R168&gt;=45, R168&lt;=60, W168=TRUE, E168&gt;=-20)</f>
        <v>0</v>
      </c>
      <c r="BV168">
        <f>OR(AI168=TRUE,AA168=TRUE)</f>
        <v>0</v>
      </c>
      <c r="BW168">
        <f>IFERROR( (AR168-D168) / MAX(D168-AQ168,1E-9) ,"")</f>
        <v>0</v>
      </c>
      <c r="BX168">
        <f>IFERROR(BW168&gt;=2, FALSE)</f>
        <v>0</v>
      </c>
      <c r="BY168" s="1">
        <f>IFERROR(ROUNDDOWN(MIN(IF(BA168&gt;0, BA168/D168, 1E99),IF(AZ168&gt;0, AZ168/MAX(D168-AQ168,1E-9), 1E99)),0),"")</f>
        <v>0</v>
      </c>
      <c r="BZ168" s="2">
        <f>IF(AND(ISNUMBER(D168),ISNUMBER(AT168)), D168*(1-AT168), "")</f>
        <v>0</v>
      </c>
      <c r="CA168">
        <f>AND(BT168=TRUE,BU168=TRUE,BV168=TRUE,BX168=TRUE)</f>
        <v>0</v>
      </c>
    </row>
    <row r="169" spans="1:79" x14ac:dyDescent="0.25">
      <c r="A169" t="s">
        <v>234</v>
      </c>
      <c r="B169">
        <f>HYPERLINK("data/charts/LH.png", "Open")</f>
        <v>0</v>
      </c>
      <c r="C169" t="s">
        <v>279</v>
      </c>
      <c r="D169">
        <v>270.38</v>
      </c>
      <c r="E169">
        <v>-4.62</v>
      </c>
      <c r="F169">
        <v>29.13</v>
      </c>
      <c r="G169">
        <v>10.92</v>
      </c>
      <c r="H169">
        <v>243.76</v>
      </c>
      <c r="I169">
        <v>0.07389999999999999</v>
      </c>
      <c r="J169" t="b">
        <v>1</v>
      </c>
      <c r="K169">
        <v>259.23</v>
      </c>
      <c r="L169">
        <v>262.63</v>
      </c>
      <c r="M169">
        <v>263.53</v>
      </c>
      <c r="N169">
        <v>258.28</v>
      </c>
      <c r="O169" t="b">
        <v>1</v>
      </c>
      <c r="P169" t="b">
        <v>1</v>
      </c>
      <c r="Q169" t="b">
        <v>1</v>
      </c>
      <c r="R169">
        <v>62.11</v>
      </c>
      <c r="S169" t="b">
        <v>0</v>
      </c>
      <c r="T169" t="b">
        <v>0</v>
      </c>
      <c r="U169">
        <v>3.9779</v>
      </c>
      <c r="V169">
        <v>3.0195</v>
      </c>
      <c r="W169" t="b">
        <v>0</v>
      </c>
      <c r="X169" t="b">
        <v>1</v>
      </c>
      <c r="Y169">
        <v>370000</v>
      </c>
      <c r="Z169">
        <v>729340</v>
      </c>
      <c r="AA169" t="b">
        <v>0</v>
      </c>
      <c r="AB169">
        <v>262.63</v>
      </c>
      <c r="AC169">
        <v>276.83</v>
      </c>
      <c r="AD169">
        <v>248.42</v>
      </c>
      <c r="AE169">
        <v>0.773</v>
      </c>
      <c r="AF169">
        <v>0.108</v>
      </c>
      <c r="AG169">
        <v>283.47</v>
      </c>
      <c r="AH169">
        <v>241.81</v>
      </c>
      <c r="AI169" t="b">
        <v>0</v>
      </c>
      <c r="AJ169">
        <v>4.319</v>
      </c>
      <c r="AK169">
        <v>263.9</v>
      </c>
      <c r="AL169">
        <v>258.36</v>
      </c>
      <c r="AM169">
        <v>248.42</v>
      </c>
      <c r="AN169">
        <v>240.64</v>
      </c>
      <c r="AO169">
        <v>263.9</v>
      </c>
      <c r="AP169" t="s">
        <v>280</v>
      </c>
      <c r="AQ169">
        <v>240.64</v>
      </c>
      <c r="AR169">
        <v>297.42</v>
      </c>
      <c r="AS169">
        <v>0.05</v>
      </c>
      <c r="AT169">
        <v>0.07000000000000001</v>
      </c>
      <c r="AU169">
        <v>60</v>
      </c>
      <c r="AV169">
        <v>0.9092128674402</v>
      </c>
      <c r="AW169">
        <v>3</v>
      </c>
      <c r="AX169">
        <v>5.25</v>
      </c>
      <c r="AY169">
        <v>33</v>
      </c>
      <c r="AZ169">
        <v>1000</v>
      </c>
      <c r="BA169">
        <v>15000</v>
      </c>
      <c r="BD169">
        <v>29.84</v>
      </c>
      <c r="BE169">
        <v>16.88</v>
      </c>
      <c r="BF169">
        <v>1.07</v>
      </c>
      <c r="BG169">
        <v>0.32</v>
      </c>
      <c r="BH169">
        <v>0.77</v>
      </c>
      <c r="BI169">
        <v>5.45</v>
      </c>
      <c r="BJ169">
        <v>12.2</v>
      </c>
      <c r="BK169">
        <v>6.74</v>
      </c>
      <c r="BM169">
        <v>1.88</v>
      </c>
      <c r="BN169" t="s">
        <v>301</v>
      </c>
      <c r="BO169" t="b">
        <v>0</v>
      </c>
      <c r="BP169" s="1">
        <f>IFERROR(RANK.EQ(AX169,AX$2:AX$213,0),"")</f>
        <v>0</v>
      </c>
      <c r="BQ169">
        <f>IFERROR(Y169/Z169,"")</f>
        <v>0</v>
      </c>
      <c r="BR169">
        <f>IFERROR(U169-V169,"")</f>
        <v>0</v>
      </c>
      <c r="BS169">
        <f>IFERROR(U169&gt;V169,"")</f>
        <v>0</v>
      </c>
      <c r="BT169">
        <f>IF(AND(ISNUMBER(D169),ISNUMBER(H169),D169&gt;=H169), OR(O169=TRUE,P169=TRUE), FALSE)</f>
        <v>0</v>
      </c>
      <c r="BU169">
        <f>AND(ISNUMBER(R169), R169&gt;=45, R169&lt;=60, W169=TRUE, E169&gt;=-20)</f>
        <v>0</v>
      </c>
      <c r="BV169">
        <f>OR(AI169=TRUE,AA169=TRUE)</f>
        <v>0</v>
      </c>
      <c r="BW169">
        <f>IFERROR( (AR169-D169) / MAX(D169-AQ169,1E-9) ,"")</f>
        <v>0</v>
      </c>
      <c r="BX169">
        <f>IFERROR(BW169&gt;=2, FALSE)</f>
        <v>0</v>
      </c>
      <c r="BY169" s="1">
        <f>IFERROR(ROUNDDOWN(MIN(IF(BA169&gt;0, BA169/D169, 1E99),IF(AZ169&gt;0, AZ169/MAX(D169-AQ169,1E-9), 1E99)),0),"")</f>
        <v>0</v>
      </c>
      <c r="BZ169" s="2">
        <f>IF(AND(ISNUMBER(D169),ISNUMBER(AT169)), D169*(1-AT169), "")</f>
        <v>0</v>
      </c>
      <c r="CA169">
        <f>AND(BT169=TRUE,BU169=TRUE,BV169=TRUE,BX169=TRUE)</f>
        <v>0</v>
      </c>
    </row>
    <row r="170" spans="1:79" x14ac:dyDescent="0.25">
      <c r="A170" t="s">
        <v>235</v>
      </c>
      <c r="B170">
        <f>HYPERLINK("data/charts/RMD.png", "Open")</f>
        <v>0</v>
      </c>
      <c r="C170" t="s">
        <v>279</v>
      </c>
      <c r="D170">
        <v>284.89</v>
      </c>
      <c r="E170">
        <v>-2.79</v>
      </c>
      <c r="F170">
        <v>42.5</v>
      </c>
      <c r="G170">
        <v>17.32</v>
      </c>
      <c r="H170">
        <v>242.82</v>
      </c>
      <c r="I170">
        <v>0.0426</v>
      </c>
      <c r="J170" t="b">
        <v>1</v>
      </c>
      <c r="K170">
        <v>264.09</v>
      </c>
      <c r="L170">
        <v>278.84</v>
      </c>
      <c r="M170">
        <v>277.67</v>
      </c>
      <c r="N170">
        <v>266.45</v>
      </c>
      <c r="O170" t="b">
        <v>1</v>
      </c>
      <c r="P170" t="b">
        <v>1</v>
      </c>
      <c r="Q170" t="b">
        <v>1</v>
      </c>
      <c r="R170">
        <v>62.66</v>
      </c>
      <c r="S170" t="b">
        <v>0</v>
      </c>
      <c r="T170" t="b">
        <v>0</v>
      </c>
      <c r="U170">
        <v>6.766</v>
      </c>
      <c r="V170">
        <v>6.9616</v>
      </c>
      <c r="W170" t="b">
        <v>0</v>
      </c>
      <c r="X170" t="b">
        <v>1</v>
      </c>
      <c r="Y170">
        <v>1014600</v>
      </c>
      <c r="Z170">
        <v>1188780</v>
      </c>
      <c r="AA170" t="b">
        <v>0</v>
      </c>
      <c r="AB170">
        <v>278.84</v>
      </c>
      <c r="AC170">
        <v>293.22</v>
      </c>
      <c r="AD170">
        <v>264.45</v>
      </c>
      <c r="AE170">
        <v>0.71</v>
      </c>
      <c r="AF170">
        <v>0.103</v>
      </c>
      <c r="AG170">
        <v>293.08</v>
      </c>
      <c r="AH170">
        <v>258.22</v>
      </c>
      <c r="AI170" t="b">
        <v>0</v>
      </c>
      <c r="AJ170">
        <v>6.759</v>
      </c>
      <c r="AK170">
        <v>274.75</v>
      </c>
      <c r="AL170">
        <v>271.11</v>
      </c>
      <c r="AM170">
        <v>264.45</v>
      </c>
      <c r="AN170">
        <v>253.55</v>
      </c>
      <c r="AO170">
        <v>274.75</v>
      </c>
      <c r="AP170" t="s">
        <v>280</v>
      </c>
      <c r="AQ170">
        <v>253.55</v>
      </c>
      <c r="AR170">
        <v>313.38</v>
      </c>
      <c r="AS170">
        <v>0.05</v>
      </c>
      <c r="AT170">
        <v>0.07000000000000001</v>
      </c>
      <c r="AU170">
        <v>60</v>
      </c>
      <c r="AV170">
        <v>0.9090610094205209</v>
      </c>
      <c r="AW170">
        <v>3</v>
      </c>
      <c r="AX170">
        <v>5.25</v>
      </c>
      <c r="AY170">
        <v>31</v>
      </c>
      <c r="AZ170">
        <v>1000</v>
      </c>
      <c r="BA170">
        <v>15000</v>
      </c>
      <c r="BD170">
        <v>29.93</v>
      </c>
      <c r="BE170">
        <v>27.69</v>
      </c>
      <c r="BF170">
        <v>84</v>
      </c>
      <c r="BG170">
        <v>0.22</v>
      </c>
      <c r="BH170">
        <v>0.14</v>
      </c>
      <c r="BI170">
        <v>4.36</v>
      </c>
      <c r="BJ170">
        <v>4.02</v>
      </c>
      <c r="BK170">
        <v>28.17</v>
      </c>
      <c r="BM170">
        <v>1</v>
      </c>
      <c r="BN170" t="s">
        <v>302</v>
      </c>
      <c r="BO170" t="b">
        <v>0</v>
      </c>
      <c r="BP170" s="1">
        <f>IFERROR(RANK.EQ(AX170,AX$2:AX$213,0),"")</f>
        <v>0</v>
      </c>
      <c r="BQ170">
        <f>IFERROR(Y170/Z170,"")</f>
        <v>0</v>
      </c>
      <c r="BR170">
        <f>IFERROR(U170-V170,"")</f>
        <v>0</v>
      </c>
      <c r="BS170">
        <f>IFERROR(U170&gt;V170,"")</f>
        <v>0</v>
      </c>
      <c r="BT170">
        <f>IF(AND(ISNUMBER(D170),ISNUMBER(H170),D170&gt;=H170), OR(O170=TRUE,P170=TRUE), FALSE)</f>
        <v>0</v>
      </c>
      <c r="BU170">
        <f>AND(ISNUMBER(R170), R170&gt;=45, R170&lt;=60, W170=TRUE, E170&gt;=-20)</f>
        <v>0</v>
      </c>
      <c r="BV170">
        <f>OR(AI170=TRUE,AA170=TRUE)</f>
        <v>0</v>
      </c>
      <c r="BW170">
        <f>IFERROR( (AR170-D170) / MAX(D170-AQ170,1E-9) ,"")</f>
        <v>0</v>
      </c>
      <c r="BX170">
        <f>IFERROR(BW170&gt;=2, FALSE)</f>
        <v>0</v>
      </c>
      <c r="BY170" s="1">
        <f>IFERROR(ROUNDDOWN(MIN(IF(BA170&gt;0, BA170/D170, 1E99),IF(AZ170&gt;0, AZ170/MAX(D170-AQ170,1E-9), 1E99)),0),"")</f>
        <v>0</v>
      </c>
      <c r="BZ170" s="2">
        <f>IF(AND(ISNUMBER(D170),ISNUMBER(AT170)), D170*(1-AT170), "")</f>
        <v>0</v>
      </c>
      <c r="CA170">
        <f>AND(BT170=TRUE,BU170=TRUE,BV170=TRUE,BX170=TRUE)</f>
        <v>0</v>
      </c>
    </row>
    <row r="171" spans="1:79" x14ac:dyDescent="0.25">
      <c r="A171" t="s">
        <v>236</v>
      </c>
      <c r="B171">
        <f>HYPERLINK("data/charts/META.png", "Open")</f>
        <v>0</v>
      </c>
      <c r="C171" t="s">
        <v>279</v>
      </c>
      <c r="D171">
        <v>785.23</v>
      </c>
      <c r="E171">
        <v>-1.38</v>
      </c>
      <c r="F171">
        <v>63.66</v>
      </c>
      <c r="G171">
        <v>22.89</v>
      </c>
      <c r="H171">
        <v>638.99</v>
      </c>
      <c r="I171">
        <v>0.132</v>
      </c>
      <c r="J171" t="b">
        <v>1</v>
      </c>
      <c r="K171">
        <v>723.87</v>
      </c>
      <c r="L171">
        <v>747.0700000000001</v>
      </c>
      <c r="M171">
        <v>753.55</v>
      </c>
      <c r="N171">
        <v>721.2</v>
      </c>
      <c r="O171" t="b">
        <v>1</v>
      </c>
      <c r="P171" t="b">
        <v>1</v>
      </c>
      <c r="Q171" t="b">
        <v>1</v>
      </c>
      <c r="R171">
        <v>63.17</v>
      </c>
      <c r="S171" t="b">
        <v>0</v>
      </c>
      <c r="T171" t="b">
        <v>0</v>
      </c>
      <c r="U171">
        <v>20.151</v>
      </c>
      <c r="V171">
        <v>17.4608</v>
      </c>
      <c r="W171" t="b">
        <v>0</v>
      </c>
      <c r="X171" t="b">
        <v>1</v>
      </c>
      <c r="Y171">
        <v>13363500</v>
      </c>
      <c r="Z171">
        <v>12959620</v>
      </c>
      <c r="AA171" t="b">
        <v>0</v>
      </c>
      <c r="AB171">
        <v>747.0700000000001</v>
      </c>
      <c r="AC171">
        <v>812.1900000000001</v>
      </c>
      <c r="AD171">
        <v>681.95</v>
      </c>
      <c r="AE171">
        <v>0.793</v>
      </c>
      <c r="AF171">
        <v>0.174</v>
      </c>
      <c r="AG171">
        <v>796.25</v>
      </c>
      <c r="AH171">
        <v>691.2</v>
      </c>
      <c r="AI171" t="b">
        <v>0</v>
      </c>
      <c r="AJ171">
        <v>17.021</v>
      </c>
      <c r="AK171">
        <v>759.7</v>
      </c>
      <c r="AL171">
        <v>758.58</v>
      </c>
      <c r="AM171">
        <v>681.95</v>
      </c>
      <c r="AN171">
        <v>698.85</v>
      </c>
      <c r="AO171">
        <v>759.7</v>
      </c>
      <c r="AP171" t="s">
        <v>280</v>
      </c>
      <c r="AQ171">
        <v>698.85</v>
      </c>
      <c r="AR171">
        <v>863.75</v>
      </c>
      <c r="AS171">
        <v>0.05</v>
      </c>
      <c r="AT171">
        <v>0.07000000000000001</v>
      </c>
      <c r="AU171">
        <v>60</v>
      </c>
      <c r="AV171">
        <v>0.9090071461599426</v>
      </c>
      <c r="AW171">
        <v>3</v>
      </c>
      <c r="AX171">
        <v>5.25</v>
      </c>
      <c r="AY171">
        <v>11</v>
      </c>
      <c r="AZ171">
        <v>1000</v>
      </c>
      <c r="BA171">
        <v>15000</v>
      </c>
      <c r="BD171">
        <v>28.49</v>
      </c>
      <c r="BE171">
        <v>31.04</v>
      </c>
      <c r="BF171">
        <v>27</v>
      </c>
      <c r="BG171">
        <v>0.07000000000000001</v>
      </c>
      <c r="BH171">
        <v>0.25</v>
      </c>
      <c r="BI171">
        <v>12.29</v>
      </c>
      <c r="BJ171">
        <v>10.47</v>
      </c>
      <c r="BK171">
        <v>38.59</v>
      </c>
      <c r="BM171">
        <v>0.79</v>
      </c>
      <c r="BN171" t="s">
        <v>286</v>
      </c>
      <c r="BO171" t="b">
        <v>0</v>
      </c>
      <c r="BP171" s="1">
        <f>IFERROR(RANK.EQ(AX171,AX$2:AX$213,0),"")</f>
        <v>0</v>
      </c>
      <c r="BQ171">
        <f>IFERROR(Y171/Z171,"")</f>
        <v>0</v>
      </c>
      <c r="BR171">
        <f>IFERROR(U171-V171,"")</f>
        <v>0</v>
      </c>
      <c r="BS171">
        <f>IFERROR(U171&gt;V171,"")</f>
        <v>0</v>
      </c>
      <c r="BT171">
        <f>IF(AND(ISNUMBER(D171),ISNUMBER(H171),D171&gt;=H171), OR(O171=TRUE,P171=TRUE), FALSE)</f>
        <v>0</v>
      </c>
      <c r="BU171">
        <f>AND(ISNUMBER(R171), R171&gt;=45, R171&lt;=60, W171=TRUE, E171&gt;=-20)</f>
        <v>0</v>
      </c>
      <c r="BV171">
        <f>OR(AI171=TRUE,AA171=TRUE)</f>
        <v>0</v>
      </c>
      <c r="BW171">
        <f>IFERROR( (AR171-D171) / MAX(D171-AQ171,1E-9) ,"")</f>
        <v>0</v>
      </c>
      <c r="BX171">
        <f>IFERROR(BW171&gt;=2, FALSE)</f>
        <v>0</v>
      </c>
      <c r="BY171" s="1">
        <f>IFERROR(ROUNDDOWN(MIN(IF(BA171&gt;0, BA171/D171, 1E99),IF(AZ171&gt;0, AZ171/MAX(D171-AQ171,1E-9), 1E99)),0),"")</f>
        <v>0</v>
      </c>
      <c r="BZ171" s="2">
        <f>IF(AND(ISNUMBER(D171),ISNUMBER(AT171)), D171*(1-AT171), "")</f>
        <v>0</v>
      </c>
      <c r="CA171">
        <f>AND(BT171=TRUE,BU171=TRUE,BV171=TRUE,BX171=TRUE)</f>
        <v>0</v>
      </c>
    </row>
    <row r="172" spans="1:79" x14ac:dyDescent="0.25">
      <c r="A172" t="s">
        <v>237</v>
      </c>
      <c r="B172">
        <f>HYPERLINK("data/charts/DGX.png", "Open")</f>
        <v>0</v>
      </c>
      <c r="C172" t="s">
        <v>279</v>
      </c>
      <c r="D172">
        <v>179.77</v>
      </c>
      <c r="E172">
        <v>-1.43</v>
      </c>
      <c r="F172">
        <v>22.99</v>
      </c>
      <c r="G172">
        <v>7.65</v>
      </c>
      <c r="H172">
        <v>166.99</v>
      </c>
      <c r="I172">
        <v>0.0607</v>
      </c>
      <c r="J172" t="b">
        <v>1</v>
      </c>
      <c r="K172">
        <v>174.45</v>
      </c>
      <c r="L172">
        <v>173.13</v>
      </c>
      <c r="M172">
        <v>174.61</v>
      </c>
      <c r="N172">
        <v>173.71</v>
      </c>
      <c r="O172" t="b">
        <v>1</v>
      </c>
      <c r="P172" t="b">
        <v>1</v>
      </c>
      <c r="Q172" t="b">
        <v>1</v>
      </c>
      <c r="R172">
        <v>63.65</v>
      </c>
      <c r="S172" t="b">
        <v>0</v>
      </c>
      <c r="T172" t="b">
        <v>0</v>
      </c>
      <c r="U172">
        <v>1.7821</v>
      </c>
      <c r="V172">
        <v>0.6684</v>
      </c>
      <c r="W172" t="b">
        <v>0</v>
      </c>
      <c r="X172" t="b">
        <v>1</v>
      </c>
      <c r="Y172">
        <v>810200</v>
      </c>
      <c r="Z172">
        <v>1250295</v>
      </c>
      <c r="AA172" t="b">
        <v>0</v>
      </c>
      <c r="AB172">
        <v>173.13</v>
      </c>
      <c r="AC172">
        <v>182.01</v>
      </c>
      <c r="AD172">
        <v>164.25</v>
      </c>
      <c r="AE172">
        <v>0.874</v>
      </c>
      <c r="AF172">
        <v>0.103</v>
      </c>
      <c r="AG172">
        <v>180.89</v>
      </c>
      <c r="AH172">
        <v>165.3</v>
      </c>
      <c r="AI172" t="b">
        <v>0</v>
      </c>
      <c r="AJ172">
        <v>2.662</v>
      </c>
      <c r="AK172">
        <v>175.78</v>
      </c>
      <c r="AL172">
        <v>165.78</v>
      </c>
      <c r="AM172">
        <v>164.25</v>
      </c>
      <c r="AN172">
        <v>160</v>
      </c>
      <c r="AO172">
        <v>175.78</v>
      </c>
      <c r="AP172" t="s">
        <v>280</v>
      </c>
      <c r="AQ172">
        <v>160</v>
      </c>
      <c r="AR172">
        <v>197.75</v>
      </c>
      <c r="AS172">
        <v>0.05</v>
      </c>
      <c r="AT172">
        <v>0.07000000000000001</v>
      </c>
      <c r="AU172">
        <v>60</v>
      </c>
      <c r="AV172">
        <v>0.9094583632733299</v>
      </c>
      <c r="AW172">
        <v>3</v>
      </c>
      <c r="AX172">
        <v>5.25</v>
      </c>
      <c r="AY172">
        <v>50</v>
      </c>
      <c r="AZ172">
        <v>1000</v>
      </c>
      <c r="BA172">
        <v>15000</v>
      </c>
      <c r="BD172">
        <v>21.56</v>
      </c>
      <c r="BE172">
        <v>18.42</v>
      </c>
      <c r="BF172">
        <v>1.78</v>
      </c>
      <c r="BG172">
        <v>0.46</v>
      </c>
      <c r="BH172">
        <v>0.87</v>
      </c>
      <c r="BI172">
        <v>4.11</v>
      </c>
      <c r="BJ172">
        <v>27.41</v>
      </c>
      <c r="BK172">
        <v>10.21</v>
      </c>
      <c r="BM172">
        <v>0.93</v>
      </c>
      <c r="BN172" t="s">
        <v>300</v>
      </c>
      <c r="BO172" t="b">
        <v>0</v>
      </c>
      <c r="BP172" s="1">
        <f>IFERROR(RANK.EQ(AX172,AX$2:AX$213,0),"")</f>
        <v>0</v>
      </c>
      <c r="BQ172">
        <f>IFERROR(Y172/Z172,"")</f>
        <v>0</v>
      </c>
      <c r="BR172">
        <f>IFERROR(U172-V172,"")</f>
        <v>0</v>
      </c>
      <c r="BS172">
        <f>IFERROR(U172&gt;V172,"")</f>
        <v>0</v>
      </c>
      <c r="BT172">
        <f>IF(AND(ISNUMBER(D172),ISNUMBER(H172),D172&gt;=H172), OR(O172=TRUE,P172=TRUE), FALSE)</f>
        <v>0</v>
      </c>
      <c r="BU172">
        <f>AND(ISNUMBER(R172), R172&gt;=45, R172&lt;=60, W172=TRUE, E172&gt;=-20)</f>
        <v>0</v>
      </c>
      <c r="BV172">
        <f>OR(AI172=TRUE,AA172=TRUE)</f>
        <v>0</v>
      </c>
      <c r="BW172">
        <f>IFERROR( (AR172-D172) / MAX(D172-AQ172,1E-9) ,"")</f>
        <v>0</v>
      </c>
      <c r="BX172">
        <f>IFERROR(BW172&gt;=2, FALSE)</f>
        <v>0</v>
      </c>
      <c r="BY172" s="1">
        <f>IFERROR(ROUNDDOWN(MIN(IF(BA172&gt;0, BA172/D172, 1E99),IF(AZ172&gt;0, AZ172/MAX(D172-AQ172,1E-9), 1E99)),0),"")</f>
        <v>0</v>
      </c>
      <c r="BZ172" s="2">
        <f>IF(AND(ISNUMBER(D172),ISNUMBER(AT172)), D172*(1-AT172), "")</f>
        <v>0</v>
      </c>
      <c r="CA172">
        <f>AND(BT172=TRUE,BU172=TRUE,BV172=TRUE,BX172=TRUE)</f>
        <v>0</v>
      </c>
    </row>
    <row r="173" spans="1:79" x14ac:dyDescent="0.25">
      <c r="A173" t="s">
        <v>238</v>
      </c>
      <c r="B173">
        <f>HYPERLINK("data/charts/LVS.png", "Open")</f>
        <v>0</v>
      </c>
      <c r="C173" t="s">
        <v>279</v>
      </c>
      <c r="D173">
        <v>53.66</v>
      </c>
      <c r="E173">
        <v>-5.21</v>
      </c>
      <c r="F173">
        <v>77.8</v>
      </c>
      <c r="G173">
        <v>18.26</v>
      </c>
      <c r="H173">
        <v>45.37</v>
      </c>
      <c r="I173">
        <v>0.0329</v>
      </c>
      <c r="J173" t="b">
        <v>1</v>
      </c>
      <c r="K173">
        <v>47.93</v>
      </c>
      <c r="L173">
        <v>52.16</v>
      </c>
      <c r="M173">
        <v>52</v>
      </c>
      <c r="N173">
        <v>48.82</v>
      </c>
      <c r="O173" t="b">
        <v>1</v>
      </c>
      <c r="P173" t="b">
        <v>1</v>
      </c>
      <c r="Q173" t="b">
        <v>1</v>
      </c>
      <c r="R173">
        <v>68.2</v>
      </c>
      <c r="S173" t="b">
        <v>0</v>
      </c>
      <c r="T173" t="b">
        <v>0</v>
      </c>
      <c r="U173">
        <v>1.6489</v>
      </c>
      <c r="V173">
        <v>1.752</v>
      </c>
      <c r="W173" t="b">
        <v>0</v>
      </c>
      <c r="X173" t="b">
        <v>1</v>
      </c>
      <c r="Y173">
        <v>3487700</v>
      </c>
      <c r="Z173">
        <v>5059685</v>
      </c>
      <c r="AA173" t="b">
        <v>0</v>
      </c>
      <c r="AB173">
        <v>52.16</v>
      </c>
      <c r="AC173">
        <v>55.59</v>
      </c>
      <c r="AD173">
        <v>48.72</v>
      </c>
      <c r="AE173">
        <v>0.719</v>
      </c>
      <c r="AF173">
        <v>0.132</v>
      </c>
      <c r="AG173">
        <v>54.57</v>
      </c>
      <c r="AH173">
        <v>47.97</v>
      </c>
      <c r="AI173" t="b">
        <v>0</v>
      </c>
      <c r="AJ173">
        <v>0.984</v>
      </c>
      <c r="AK173">
        <v>52.18</v>
      </c>
      <c r="AL173">
        <v>51.57</v>
      </c>
      <c r="AM173">
        <v>48.72</v>
      </c>
      <c r="AN173">
        <v>47.76</v>
      </c>
      <c r="AO173">
        <v>52.18</v>
      </c>
      <c r="AP173" t="s">
        <v>280</v>
      </c>
      <c r="AQ173">
        <v>47.76</v>
      </c>
      <c r="AR173">
        <v>59.03</v>
      </c>
      <c r="AS173">
        <v>0.05</v>
      </c>
      <c r="AT173">
        <v>0.07000000000000001</v>
      </c>
      <c r="AU173">
        <v>60</v>
      </c>
      <c r="AV173">
        <v>0.9101695409269052</v>
      </c>
      <c r="AW173">
        <v>3</v>
      </c>
      <c r="AX173">
        <v>5.25</v>
      </c>
      <c r="AY173">
        <v>169</v>
      </c>
      <c r="AZ173">
        <v>1000</v>
      </c>
      <c r="BA173">
        <v>15000</v>
      </c>
      <c r="BD173">
        <v>27.1</v>
      </c>
      <c r="BE173">
        <v>19.51</v>
      </c>
      <c r="BF173">
        <v>1.86</v>
      </c>
      <c r="BG173">
        <v>0.45</v>
      </c>
      <c r="BH173">
        <v>6.93</v>
      </c>
      <c r="BI173">
        <v>10.94</v>
      </c>
      <c r="BJ173">
        <v>34.69</v>
      </c>
      <c r="BK173">
        <v>14.52</v>
      </c>
      <c r="BM173">
        <v>0.89</v>
      </c>
      <c r="BN173" t="s">
        <v>304</v>
      </c>
      <c r="BO173" t="b">
        <v>0</v>
      </c>
      <c r="BP173" s="1">
        <f>IFERROR(RANK.EQ(AX173,AX$2:AX$213,0),"")</f>
        <v>0</v>
      </c>
      <c r="BQ173">
        <f>IFERROR(Y173/Z173,"")</f>
        <v>0</v>
      </c>
      <c r="BR173">
        <f>IFERROR(U173-V173,"")</f>
        <v>0</v>
      </c>
      <c r="BS173">
        <f>IFERROR(U173&gt;V173,"")</f>
        <v>0</v>
      </c>
      <c r="BT173">
        <f>IF(AND(ISNUMBER(D173),ISNUMBER(H173),D173&gt;=H173), OR(O173=TRUE,P173=TRUE), FALSE)</f>
        <v>0</v>
      </c>
      <c r="BU173">
        <f>AND(ISNUMBER(R173), R173&gt;=45, R173&lt;=60, W173=TRUE, E173&gt;=-20)</f>
        <v>0</v>
      </c>
      <c r="BV173">
        <f>OR(AI173=TRUE,AA173=TRUE)</f>
        <v>0</v>
      </c>
      <c r="BW173">
        <f>IFERROR( (AR173-D173) / MAX(D173-AQ173,1E-9) ,"")</f>
        <v>0</v>
      </c>
      <c r="BX173">
        <f>IFERROR(BW173&gt;=2, FALSE)</f>
        <v>0</v>
      </c>
      <c r="BY173" s="1">
        <f>IFERROR(ROUNDDOWN(MIN(IF(BA173&gt;0, BA173/D173, 1E99),IF(AZ173&gt;0, AZ173/MAX(D173-AQ173,1E-9), 1E99)),0),"")</f>
        <v>0</v>
      </c>
      <c r="BZ173" s="2">
        <f>IF(AND(ISNUMBER(D173),ISNUMBER(AT173)), D173*(1-AT173), "")</f>
        <v>0</v>
      </c>
      <c r="CA173">
        <f>AND(BT173=TRUE,BU173=TRUE,BV173=TRUE,BX173=TRUE)</f>
        <v>0</v>
      </c>
    </row>
    <row r="174" spans="1:79" x14ac:dyDescent="0.25">
      <c r="A174" t="s">
        <v>239</v>
      </c>
      <c r="B174">
        <f>HYPERLINK("data/charts/LDOS.png", "Open")</f>
        <v>0</v>
      </c>
      <c r="C174" t="s">
        <v>279</v>
      </c>
      <c r="D174">
        <v>177.63</v>
      </c>
      <c r="E174">
        <v>-12.45</v>
      </c>
      <c r="F174">
        <v>43.69</v>
      </c>
      <c r="G174">
        <v>16.52</v>
      </c>
      <c r="H174">
        <v>152.45</v>
      </c>
      <c r="I174">
        <v>0.0032</v>
      </c>
      <c r="J174" t="b">
        <v>1</v>
      </c>
      <c r="K174">
        <v>160.57</v>
      </c>
      <c r="L174">
        <v>168.38</v>
      </c>
      <c r="M174">
        <v>170.2</v>
      </c>
      <c r="N174">
        <v>163.01</v>
      </c>
      <c r="O174" t="b">
        <v>1</v>
      </c>
      <c r="P174" t="b">
        <v>1</v>
      </c>
      <c r="Q174" t="b">
        <v>1</v>
      </c>
      <c r="R174">
        <v>68.62</v>
      </c>
      <c r="S174" t="b">
        <v>0</v>
      </c>
      <c r="T174" t="b">
        <v>0</v>
      </c>
      <c r="U174">
        <v>5.379</v>
      </c>
      <c r="V174">
        <v>4.3524</v>
      </c>
      <c r="W174" t="b">
        <v>0</v>
      </c>
      <c r="X174" t="b">
        <v>1</v>
      </c>
      <c r="Y174">
        <v>849300</v>
      </c>
      <c r="Z174">
        <v>932865</v>
      </c>
      <c r="AA174" t="b">
        <v>0</v>
      </c>
      <c r="AB174">
        <v>168.38</v>
      </c>
      <c r="AC174">
        <v>184.34</v>
      </c>
      <c r="AD174">
        <v>152.41</v>
      </c>
      <c r="AE174">
        <v>0.79</v>
      </c>
      <c r="AF174">
        <v>0.19</v>
      </c>
      <c r="AG174">
        <v>182.88</v>
      </c>
      <c r="AH174">
        <v>156.31</v>
      </c>
      <c r="AI174" t="b">
        <v>0</v>
      </c>
      <c r="AJ174">
        <v>3.769</v>
      </c>
      <c r="AK174">
        <v>171.98</v>
      </c>
      <c r="AL174">
        <v>156.31</v>
      </c>
      <c r="AM174">
        <v>152.41</v>
      </c>
      <c r="AN174">
        <v>158.09</v>
      </c>
      <c r="AO174">
        <v>171.98</v>
      </c>
      <c r="AP174" t="s">
        <v>280</v>
      </c>
      <c r="AQ174">
        <v>158.09</v>
      </c>
      <c r="AR174">
        <v>195.39</v>
      </c>
      <c r="AS174">
        <v>0.05</v>
      </c>
      <c r="AT174">
        <v>0.07000000000000001</v>
      </c>
      <c r="AU174">
        <v>60</v>
      </c>
      <c r="AV174">
        <v>0.9089043336324487</v>
      </c>
      <c r="AW174">
        <v>3</v>
      </c>
      <c r="AX174">
        <v>5.25</v>
      </c>
      <c r="AY174">
        <v>51</v>
      </c>
      <c r="AZ174">
        <v>1000</v>
      </c>
      <c r="BA174">
        <v>15000</v>
      </c>
      <c r="BD174">
        <v>16.76</v>
      </c>
      <c r="BE174">
        <v>17</v>
      </c>
      <c r="BF174">
        <v>90</v>
      </c>
      <c r="BG174">
        <v>0.15</v>
      </c>
      <c r="BH174">
        <v>1.21</v>
      </c>
      <c r="BI174">
        <v>0.19</v>
      </c>
      <c r="BJ174">
        <v>8.6</v>
      </c>
      <c r="BK174">
        <v>9.19</v>
      </c>
      <c r="BM174">
        <v>0.78</v>
      </c>
      <c r="BN174" t="s">
        <v>306</v>
      </c>
      <c r="BO174" t="b">
        <v>0</v>
      </c>
      <c r="BP174" s="1">
        <f>IFERROR(RANK.EQ(AX174,AX$2:AX$213,0),"")</f>
        <v>0</v>
      </c>
      <c r="BQ174">
        <f>IFERROR(Y174/Z174,"")</f>
        <v>0</v>
      </c>
      <c r="BR174">
        <f>IFERROR(U174-V174,"")</f>
        <v>0</v>
      </c>
      <c r="BS174">
        <f>IFERROR(U174&gt;V174,"")</f>
        <v>0</v>
      </c>
      <c r="BT174">
        <f>IF(AND(ISNUMBER(D174),ISNUMBER(H174),D174&gt;=H174), OR(O174=TRUE,P174=TRUE), FALSE)</f>
        <v>0</v>
      </c>
      <c r="BU174">
        <f>AND(ISNUMBER(R174), R174&gt;=45, R174&lt;=60, W174=TRUE, E174&gt;=-20)</f>
        <v>0</v>
      </c>
      <c r="BV174">
        <f>OR(AI174=TRUE,AA174=TRUE)</f>
        <v>0</v>
      </c>
      <c r="BW174">
        <f>IFERROR( (AR174-D174) / MAX(D174-AQ174,1E-9) ,"")</f>
        <v>0</v>
      </c>
      <c r="BX174">
        <f>IFERROR(BW174&gt;=2, FALSE)</f>
        <v>0</v>
      </c>
      <c r="BY174" s="1">
        <f>IFERROR(ROUNDDOWN(MIN(IF(BA174&gt;0, BA174/D174, 1E99),IF(AZ174&gt;0, AZ174/MAX(D174-AQ174,1E-9), 1E99)),0),"")</f>
        <v>0</v>
      </c>
      <c r="BZ174" s="2">
        <f>IF(AND(ISNUMBER(D174),ISNUMBER(AT174)), D174*(1-AT174), "")</f>
        <v>0</v>
      </c>
      <c r="CA174">
        <f>AND(BT174=TRUE,BU174=TRUE,BV174=TRUE,BX174=TRUE)</f>
        <v>0</v>
      </c>
    </row>
    <row r="175" spans="1:79" x14ac:dyDescent="0.25">
      <c r="A175" t="s">
        <v>240</v>
      </c>
      <c r="B175">
        <f>HYPERLINK("data/charts/PHM.png", "Open")</f>
        <v>0</v>
      </c>
      <c r="C175" t="s">
        <v>279</v>
      </c>
      <c r="D175">
        <v>128.69</v>
      </c>
      <c r="E175">
        <v>-13.9</v>
      </c>
      <c r="F175">
        <v>46.12</v>
      </c>
      <c r="G175">
        <v>15.98</v>
      </c>
      <c r="H175">
        <v>110.96</v>
      </c>
      <c r="I175">
        <v>-0.1219</v>
      </c>
      <c r="J175" t="b">
        <v>0</v>
      </c>
      <c r="K175">
        <v>111.59</v>
      </c>
      <c r="L175">
        <v>119.6</v>
      </c>
      <c r="M175">
        <v>119.89</v>
      </c>
      <c r="N175">
        <v>113.87</v>
      </c>
      <c r="O175" t="b">
        <v>1</v>
      </c>
      <c r="P175" t="b">
        <v>1</v>
      </c>
      <c r="Q175" t="b">
        <v>1</v>
      </c>
      <c r="R175">
        <v>69.7</v>
      </c>
      <c r="S175" t="b">
        <v>0</v>
      </c>
      <c r="T175" t="b">
        <v>0</v>
      </c>
      <c r="U175">
        <v>4.5173</v>
      </c>
      <c r="V175">
        <v>3.6825</v>
      </c>
      <c r="W175" t="b">
        <v>0</v>
      </c>
      <c r="X175" t="b">
        <v>1</v>
      </c>
      <c r="Y175">
        <v>1920200</v>
      </c>
      <c r="Z175">
        <v>2148505</v>
      </c>
      <c r="AA175" t="b">
        <v>0</v>
      </c>
      <c r="AB175">
        <v>119.6</v>
      </c>
      <c r="AC175">
        <v>130.03</v>
      </c>
      <c r="AD175">
        <v>109.17</v>
      </c>
      <c r="AE175">
        <v>0.9360000000000001</v>
      </c>
      <c r="AF175">
        <v>0.174</v>
      </c>
      <c r="AG175">
        <v>131.5</v>
      </c>
      <c r="AH175">
        <v>108.32</v>
      </c>
      <c r="AI175" t="b">
        <v>0</v>
      </c>
      <c r="AJ175">
        <v>3.429</v>
      </c>
      <c r="AK175">
        <v>123.55</v>
      </c>
      <c r="AL175">
        <v>118.36</v>
      </c>
      <c r="AM175">
        <v>109.17</v>
      </c>
      <c r="AN175">
        <v>114.53</v>
      </c>
      <c r="AO175">
        <v>123.55</v>
      </c>
      <c r="AP175" t="s">
        <v>280</v>
      </c>
      <c r="AQ175">
        <v>114.53</v>
      </c>
      <c r="AR175">
        <v>141.56</v>
      </c>
      <c r="AS175">
        <v>0.05</v>
      </c>
      <c r="AT175">
        <v>0.07000000000000001</v>
      </c>
      <c r="AU175">
        <v>60</v>
      </c>
      <c r="AV175">
        <v>0.9088979759607736</v>
      </c>
      <c r="AW175">
        <v>3</v>
      </c>
      <c r="AX175">
        <v>5.25</v>
      </c>
      <c r="AY175">
        <v>70</v>
      </c>
      <c r="AZ175">
        <v>1000</v>
      </c>
      <c r="BA175">
        <v>15000</v>
      </c>
      <c r="BD175">
        <v>9.630000000000001</v>
      </c>
      <c r="BE175">
        <v>9.529999999999999</v>
      </c>
      <c r="BF175">
        <v>68</v>
      </c>
      <c r="BG175">
        <v>0.06</v>
      </c>
      <c r="BH175">
        <v>0.17</v>
      </c>
      <c r="BI175">
        <v>13.13</v>
      </c>
      <c r="BJ175">
        <v>17.76</v>
      </c>
      <c r="BK175">
        <v>13.82</v>
      </c>
      <c r="BM175">
        <v>-0.39</v>
      </c>
      <c r="BN175" t="s">
        <v>285</v>
      </c>
      <c r="BO175" t="b">
        <v>0</v>
      </c>
      <c r="BP175" s="1">
        <f>IFERROR(RANK.EQ(AX175,AX$2:AX$213,0),"")</f>
        <v>0</v>
      </c>
      <c r="BQ175">
        <f>IFERROR(Y175/Z175,"")</f>
        <v>0</v>
      </c>
      <c r="BR175">
        <f>IFERROR(U175-V175,"")</f>
        <v>0</v>
      </c>
      <c r="BS175">
        <f>IFERROR(U175&gt;V175,"")</f>
        <v>0</v>
      </c>
      <c r="BT175">
        <f>IF(AND(ISNUMBER(D175),ISNUMBER(H175),D175&gt;=H175), OR(O175=TRUE,P175=TRUE), FALSE)</f>
        <v>0</v>
      </c>
      <c r="BU175">
        <f>AND(ISNUMBER(R175), R175&gt;=45, R175&lt;=60, W175=TRUE, E175&gt;=-20)</f>
        <v>0</v>
      </c>
      <c r="BV175">
        <f>OR(AI175=TRUE,AA175=TRUE)</f>
        <v>0</v>
      </c>
      <c r="BW175">
        <f>IFERROR( (AR175-D175) / MAX(D175-AQ175,1E-9) ,"")</f>
        <v>0</v>
      </c>
      <c r="BX175">
        <f>IFERROR(BW175&gt;=2, FALSE)</f>
        <v>0</v>
      </c>
      <c r="BY175" s="1">
        <f>IFERROR(ROUNDDOWN(MIN(IF(BA175&gt;0, BA175/D175, 1E99),IF(AZ175&gt;0, AZ175/MAX(D175-AQ175,1E-9), 1E99)),0),"")</f>
        <v>0</v>
      </c>
      <c r="BZ175" s="2">
        <f>IF(AND(ISNUMBER(D175),ISNUMBER(AT175)), D175*(1-AT175), "")</f>
        <v>0</v>
      </c>
      <c r="CA175">
        <f>AND(BT175=TRUE,BU175=TRUE,BV175=TRUE,BX175=TRUE)</f>
        <v>0</v>
      </c>
    </row>
    <row r="176" spans="1:79" x14ac:dyDescent="0.25">
      <c r="A176" t="s">
        <v>241</v>
      </c>
      <c r="B176">
        <f>HYPERLINK("data/charts/DHI.png", "Open")</f>
        <v>0</v>
      </c>
      <c r="C176" t="s">
        <v>279</v>
      </c>
      <c r="D176">
        <v>165.62</v>
      </c>
      <c r="E176">
        <v>-17.13</v>
      </c>
      <c r="F176">
        <v>49.96</v>
      </c>
      <c r="G176">
        <v>19.99</v>
      </c>
      <c r="H176">
        <v>138.03</v>
      </c>
      <c r="I176">
        <v>-0.1873</v>
      </c>
      <c r="J176" t="b">
        <v>0</v>
      </c>
      <c r="K176">
        <v>138</v>
      </c>
      <c r="L176">
        <v>151.69</v>
      </c>
      <c r="M176">
        <v>151.85</v>
      </c>
      <c r="N176">
        <v>142.08</v>
      </c>
      <c r="O176" t="b">
        <v>1</v>
      </c>
      <c r="P176" t="b">
        <v>1</v>
      </c>
      <c r="Q176" t="b">
        <v>1</v>
      </c>
      <c r="R176">
        <v>72.34999999999999</v>
      </c>
      <c r="S176" t="b">
        <v>0</v>
      </c>
      <c r="T176" t="b">
        <v>0</v>
      </c>
      <c r="U176">
        <v>7.4568</v>
      </c>
      <c r="V176">
        <v>6.4171</v>
      </c>
      <c r="W176" t="b">
        <v>0</v>
      </c>
      <c r="X176" t="b">
        <v>1</v>
      </c>
      <c r="Y176">
        <v>5930200</v>
      </c>
      <c r="Z176">
        <v>4630260</v>
      </c>
      <c r="AA176" t="b">
        <v>0</v>
      </c>
      <c r="AB176">
        <v>151.69</v>
      </c>
      <c r="AC176">
        <v>168.17</v>
      </c>
      <c r="AD176">
        <v>135.2</v>
      </c>
      <c r="AE176">
        <v>0.923</v>
      </c>
      <c r="AF176">
        <v>0.217</v>
      </c>
      <c r="AG176">
        <v>170</v>
      </c>
      <c r="AH176">
        <v>129.22</v>
      </c>
      <c r="AI176" t="b">
        <v>0</v>
      </c>
      <c r="AJ176">
        <v>4.574</v>
      </c>
      <c r="AK176">
        <v>158.76</v>
      </c>
      <c r="AL176">
        <v>152.26</v>
      </c>
      <c r="AM176">
        <v>135.2</v>
      </c>
      <c r="AN176">
        <v>147.4</v>
      </c>
      <c r="AO176">
        <v>158.76</v>
      </c>
      <c r="AP176" t="s">
        <v>280</v>
      </c>
      <c r="AQ176">
        <v>147.4</v>
      </c>
      <c r="AR176">
        <v>182.18</v>
      </c>
      <c r="AS176">
        <v>0.05</v>
      </c>
      <c r="AT176">
        <v>0.07000000000000001</v>
      </c>
      <c r="AU176">
        <v>60</v>
      </c>
      <c r="AV176">
        <v>0.9088918397783177</v>
      </c>
      <c r="AW176">
        <v>3</v>
      </c>
      <c r="AX176">
        <v>5.25</v>
      </c>
      <c r="AY176">
        <v>54</v>
      </c>
      <c r="AZ176">
        <v>1000</v>
      </c>
      <c r="BA176">
        <v>15000</v>
      </c>
      <c r="BD176">
        <v>13.31</v>
      </c>
      <c r="BE176">
        <v>10.4</v>
      </c>
      <c r="BF176">
        <v>97</v>
      </c>
      <c r="BG176">
        <v>0.12</v>
      </c>
      <c r="BH176">
        <v>0.3</v>
      </c>
      <c r="BI176">
        <v>19.29</v>
      </c>
      <c r="BJ176">
        <v>30.12</v>
      </c>
      <c r="BK176">
        <v>11.11</v>
      </c>
      <c r="BM176">
        <v>-0.55</v>
      </c>
      <c r="BN176" t="s">
        <v>285</v>
      </c>
      <c r="BO176" t="b">
        <v>0</v>
      </c>
      <c r="BP176" s="1">
        <f>IFERROR(RANK.EQ(AX176,AX$2:AX$213,0),"")</f>
        <v>0</v>
      </c>
      <c r="BQ176">
        <f>IFERROR(Y176/Z176,"")</f>
        <v>0</v>
      </c>
      <c r="BR176">
        <f>IFERROR(U176-V176,"")</f>
        <v>0</v>
      </c>
      <c r="BS176">
        <f>IFERROR(U176&gt;V176,"")</f>
        <v>0</v>
      </c>
      <c r="BT176">
        <f>IF(AND(ISNUMBER(D176),ISNUMBER(H176),D176&gt;=H176), OR(O176=TRUE,P176=TRUE), FALSE)</f>
        <v>0</v>
      </c>
      <c r="BU176">
        <f>AND(ISNUMBER(R176), R176&gt;=45, R176&lt;=60, W176=TRUE, E176&gt;=-20)</f>
        <v>0</v>
      </c>
      <c r="BV176">
        <f>OR(AI176=TRUE,AA176=TRUE)</f>
        <v>0</v>
      </c>
      <c r="BW176">
        <f>IFERROR( (AR176-D176) / MAX(D176-AQ176,1E-9) ,"")</f>
        <v>0</v>
      </c>
      <c r="BX176">
        <f>IFERROR(BW176&gt;=2, FALSE)</f>
        <v>0</v>
      </c>
      <c r="BY176" s="1">
        <f>IFERROR(ROUNDDOWN(MIN(IF(BA176&gt;0, BA176/D176, 1E99),IF(AZ176&gt;0, AZ176/MAX(D176-AQ176,1E-9), 1E99)),0),"")</f>
        <v>0</v>
      </c>
      <c r="BZ176" s="2">
        <f>IF(AND(ISNUMBER(D176),ISNUMBER(AT176)), D176*(1-AT176), "")</f>
        <v>0</v>
      </c>
      <c r="CA176">
        <f>AND(BT176=TRUE,BU176=TRUE,BV176=TRUE,BX176=TRUE)</f>
        <v>0</v>
      </c>
    </row>
    <row r="177" spans="1:79" x14ac:dyDescent="0.25">
      <c r="A177" t="s">
        <v>242</v>
      </c>
      <c r="B177">
        <f>HYPERLINK("data/charts/MO.png", "Open")</f>
        <v>0</v>
      </c>
      <c r="C177" t="s">
        <v>279</v>
      </c>
      <c r="D177">
        <v>65.81999999999999</v>
      </c>
      <c r="E177">
        <v>-0.71</v>
      </c>
      <c r="F177">
        <v>34.71</v>
      </c>
      <c r="G177">
        <v>15.63</v>
      </c>
      <c r="H177">
        <v>56.92</v>
      </c>
      <c r="I177">
        <v>0.0727</v>
      </c>
      <c r="J177" t="b">
        <v>1</v>
      </c>
      <c r="K177">
        <v>60.31</v>
      </c>
      <c r="L177">
        <v>62.24</v>
      </c>
      <c r="M177">
        <v>62.8</v>
      </c>
      <c r="N177">
        <v>60.98</v>
      </c>
      <c r="O177" t="b">
        <v>1</v>
      </c>
      <c r="P177" t="b">
        <v>1</v>
      </c>
      <c r="Q177" t="b">
        <v>1</v>
      </c>
      <c r="R177">
        <v>74.93000000000001</v>
      </c>
      <c r="S177" t="b">
        <v>0</v>
      </c>
      <c r="T177" t="b">
        <v>0</v>
      </c>
      <c r="U177">
        <v>1.7345</v>
      </c>
      <c r="V177">
        <v>1.3347</v>
      </c>
      <c r="W177" t="b">
        <v>0</v>
      </c>
      <c r="X177" t="b">
        <v>1</v>
      </c>
      <c r="Y177">
        <v>10137000</v>
      </c>
      <c r="Z177">
        <v>8718410</v>
      </c>
      <c r="AA177" t="b">
        <v>0</v>
      </c>
      <c r="AB177">
        <v>62.24</v>
      </c>
      <c r="AC177">
        <v>67.26000000000001</v>
      </c>
      <c r="AD177">
        <v>57.22</v>
      </c>
      <c r="AE177">
        <v>0.857</v>
      </c>
      <c r="AF177">
        <v>0.161</v>
      </c>
      <c r="AG177">
        <v>66.29000000000001</v>
      </c>
      <c r="AH177">
        <v>57.9</v>
      </c>
      <c r="AI177" t="b">
        <v>0</v>
      </c>
      <c r="AJ177">
        <v>1.097</v>
      </c>
      <c r="AK177">
        <v>64.17</v>
      </c>
      <c r="AL177">
        <v>58.43</v>
      </c>
      <c r="AM177">
        <v>57.22</v>
      </c>
      <c r="AN177">
        <v>58.58</v>
      </c>
      <c r="AO177">
        <v>64.17</v>
      </c>
      <c r="AP177" t="s">
        <v>280</v>
      </c>
      <c r="AQ177">
        <v>58.58</v>
      </c>
      <c r="AR177">
        <v>72.40000000000001</v>
      </c>
      <c r="AS177">
        <v>0.05</v>
      </c>
      <c r="AT177">
        <v>0.07000000000000001</v>
      </c>
      <c r="AU177">
        <v>60</v>
      </c>
      <c r="AV177">
        <v>0.9088398594657043</v>
      </c>
      <c r="AW177">
        <v>3</v>
      </c>
      <c r="AX177">
        <v>5.25</v>
      </c>
      <c r="AY177">
        <v>138</v>
      </c>
      <c r="AZ177">
        <v>1000</v>
      </c>
      <c r="BA177">
        <v>15000</v>
      </c>
      <c r="BD177">
        <v>12.73</v>
      </c>
      <c r="BE177">
        <v>12.3</v>
      </c>
      <c r="BF177">
        <v>6.2</v>
      </c>
      <c r="BG177">
        <v>0.79</v>
      </c>
      <c r="BH177">
        <v>-7.71</v>
      </c>
      <c r="BI177">
        <v>17.06</v>
      </c>
      <c r="BJ177">
        <v>123.81</v>
      </c>
      <c r="BK177">
        <v>44.95</v>
      </c>
      <c r="BM177">
        <v>-0.34</v>
      </c>
      <c r="BN177" t="s">
        <v>285</v>
      </c>
      <c r="BO177" t="b">
        <v>0</v>
      </c>
      <c r="BP177" s="1">
        <f>IFERROR(RANK.EQ(AX177,AX$2:AX$213,0),"")</f>
        <v>0</v>
      </c>
      <c r="BQ177">
        <f>IFERROR(Y177/Z177,"")</f>
        <v>0</v>
      </c>
      <c r="BR177">
        <f>IFERROR(U177-V177,"")</f>
        <v>0</v>
      </c>
      <c r="BS177">
        <f>IFERROR(U177&gt;V177,"")</f>
        <v>0</v>
      </c>
      <c r="BT177">
        <f>IF(AND(ISNUMBER(D177),ISNUMBER(H177),D177&gt;=H177), OR(O177=TRUE,P177=TRUE), FALSE)</f>
        <v>0</v>
      </c>
      <c r="BU177">
        <f>AND(ISNUMBER(R177), R177&gt;=45, R177&lt;=60, W177=TRUE, E177&gt;=-20)</f>
        <v>0</v>
      </c>
      <c r="BV177">
        <f>OR(AI177=TRUE,AA177=TRUE)</f>
        <v>0</v>
      </c>
      <c r="BW177">
        <f>IFERROR( (AR177-D177) / MAX(D177-AQ177,1E-9) ,"")</f>
        <v>0</v>
      </c>
      <c r="BX177">
        <f>IFERROR(BW177&gt;=2, FALSE)</f>
        <v>0</v>
      </c>
      <c r="BY177" s="1">
        <f>IFERROR(ROUNDDOWN(MIN(IF(BA177&gt;0, BA177/D177, 1E99),IF(AZ177&gt;0, AZ177/MAX(D177-AQ177,1E-9), 1E99)),0),"")</f>
        <v>0</v>
      </c>
      <c r="BZ177" s="2">
        <f>IF(AND(ISNUMBER(D177),ISNUMBER(AT177)), D177*(1-AT177), "")</f>
        <v>0</v>
      </c>
      <c r="CA177">
        <f>AND(BT177=TRUE,BU177=TRUE,BV177=TRUE,BX177=TRUE)</f>
        <v>0</v>
      </c>
    </row>
    <row r="178" spans="1:79" x14ac:dyDescent="0.25">
      <c r="A178" t="s">
        <v>243</v>
      </c>
      <c r="B178">
        <f>HYPERLINK("data/charts/GNRC.png", "Open")</f>
        <v>0</v>
      </c>
      <c r="C178" t="s">
        <v>279</v>
      </c>
      <c r="D178">
        <v>198.8</v>
      </c>
      <c r="E178">
        <v>-2.19</v>
      </c>
      <c r="F178">
        <v>99.8</v>
      </c>
      <c r="G178">
        <v>34.3</v>
      </c>
      <c r="H178">
        <v>148.03</v>
      </c>
      <c r="I178">
        <v>0.0008</v>
      </c>
      <c r="J178" t="b">
        <v>1</v>
      </c>
      <c r="K178">
        <v>155.91</v>
      </c>
      <c r="L178">
        <v>180.67</v>
      </c>
      <c r="M178">
        <v>182.86</v>
      </c>
      <c r="N178">
        <v>163.28</v>
      </c>
      <c r="O178" t="b">
        <v>1</v>
      </c>
      <c r="P178" t="b">
        <v>1</v>
      </c>
      <c r="Q178" t="b">
        <v>1</v>
      </c>
      <c r="R178">
        <v>75.06</v>
      </c>
      <c r="S178" t="b">
        <v>0</v>
      </c>
      <c r="T178" t="b">
        <v>0</v>
      </c>
      <c r="U178">
        <v>13.9049</v>
      </c>
      <c r="V178">
        <v>13.4893</v>
      </c>
      <c r="W178" t="b">
        <v>0</v>
      </c>
      <c r="X178" t="b">
        <v>1</v>
      </c>
      <c r="Y178">
        <v>1000800</v>
      </c>
      <c r="Z178">
        <v>1314305</v>
      </c>
      <c r="AA178" t="b">
        <v>0</v>
      </c>
      <c r="AB178">
        <v>180.67</v>
      </c>
      <c r="AC178">
        <v>222.21</v>
      </c>
      <c r="AD178">
        <v>139.12</v>
      </c>
      <c r="AE178">
        <v>0.718</v>
      </c>
      <c r="AF178">
        <v>0.46</v>
      </c>
      <c r="AG178">
        <v>203.25</v>
      </c>
      <c r="AH178">
        <v>148.16</v>
      </c>
      <c r="AI178" t="b">
        <v>0</v>
      </c>
      <c r="AJ178">
        <v>7.751</v>
      </c>
      <c r="AK178">
        <v>187.17</v>
      </c>
      <c r="AL178">
        <v>192.22</v>
      </c>
      <c r="AM178">
        <v>139.12</v>
      </c>
      <c r="AN178">
        <v>176.93</v>
      </c>
      <c r="AO178">
        <v>192.22</v>
      </c>
      <c r="AP178" t="s">
        <v>282</v>
      </c>
      <c r="AQ178">
        <v>176.93</v>
      </c>
      <c r="AR178">
        <v>218.68</v>
      </c>
      <c r="AS178">
        <v>0.05</v>
      </c>
      <c r="AT178">
        <v>0.07000000000000001</v>
      </c>
      <c r="AU178">
        <v>60</v>
      </c>
      <c r="AV178">
        <v>0.9090075068208249</v>
      </c>
      <c r="AW178">
        <v>3</v>
      </c>
      <c r="AX178">
        <v>5.25</v>
      </c>
      <c r="AY178">
        <v>45</v>
      </c>
      <c r="AZ178">
        <v>1000</v>
      </c>
      <c r="BA178">
        <v>15000</v>
      </c>
      <c r="BD178">
        <v>33.13</v>
      </c>
      <c r="BE178">
        <v>24.21</v>
      </c>
      <c r="BG178">
        <v>0</v>
      </c>
      <c r="BH178">
        <v>0.62</v>
      </c>
      <c r="BI178">
        <v>12.64</v>
      </c>
      <c r="BJ178">
        <v>71.62</v>
      </c>
      <c r="BK178">
        <v>6.97</v>
      </c>
      <c r="BM178">
        <v>1.31</v>
      </c>
      <c r="BN178" t="s">
        <v>301</v>
      </c>
      <c r="BO178" t="b">
        <v>0</v>
      </c>
      <c r="BP178" s="1">
        <f>IFERROR(RANK.EQ(AX178,AX$2:AX$213,0),"")</f>
        <v>0</v>
      </c>
      <c r="BQ178">
        <f>IFERROR(Y178/Z178,"")</f>
        <v>0</v>
      </c>
      <c r="BR178">
        <f>IFERROR(U178-V178,"")</f>
        <v>0</v>
      </c>
      <c r="BS178">
        <f>IFERROR(U178&gt;V178,"")</f>
        <v>0</v>
      </c>
      <c r="BT178">
        <f>IF(AND(ISNUMBER(D178),ISNUMBER(H178),D178&gt;=H178), OR(O178=TRUE,P178=TRUE), FALSE)</f>
        <v>0</v>
      </c>
      <c r="BU178">
        <f>AND(ISNUMBER(R178), R178&gt;=45, R178&lt;=60, W178=TRUE, E178&gt;=-20)</f>
        <v>0</v>
      </c>
      <c r="BV178">
        <f>OR(AI178=TRUE,AA178=TRUE)</f>
        <v>0</v>
      </c>
      <c r="BW178">
        <f>IFERROR( (AR178-D178) / MAX(D178-AQ178,1E-9) ,"")</f>
        <v>0</v>
      </c>
      <c r="BX178">
        <f>IFERROR(BW178&gt;=2, FALSE)</f>
        <v>0</v>
      </c>
      <c r="BY178" s="1">
        <f>IFERROR(ROUNDDOWN(MIN(IF(BA178&gt;0, BA178/D178, 1E99),IF(AZ178&gt;0, AZ178/MAX(D178-AQ178,1E-9), 1E99)),0),"")</f>
        <v>0</v>
      </c>
      <c r="BZ178" s="2">
        <f>IF(AND(ISNUMBER(D178),ISNUMBER(AT178)), D178*(1-AT178), "")</f>
        <v>0</v>
      </c>
      <c r="CA178">
        <f>AND(BT178=TRUE,BU178=TRUE,BV178=TRUE,BX178=TRUE)</f>
        <v>0</v>
      </c>
    </row>
    <row r="179" spans="1:79" x14ac:dyDescent="0.25">
      <c r="A179" t="s">
        <v>244</v>
      </c>
      <c r="B179">
        <f>HYPERLINK("data/charts/TXN.png", "Open")</f>
        <v>0</v>
      </c>
      <c r="C179" t="s">
        <v>279</v>
      </c>
      <c r="D179">
        <v>194.57</v>
      </c>
      <c r="E179">
        <v>-12.23</v>
      </c>
      <c r="F179">
        <v>39.03</v>
      </c>
      <c r="G179">
        <v>2.9</v>
      </c>
      <c r="H179">
        <v>189.08</v>
      </c>
      <c r="I179">
        <v>0.0008</v>
      </c>
      <c r="J179" t="b">
        <v>1</v>
      </c>
      <c r="K179">
        <v>200.55</v>
      </c>
      <c r="L179">
        <v>190.2</v>
      </c>
      <c r="M179">
        <v>192.87</v>
      </c>
      <c r="N179">
        <v>194.44</v>
      </c>
      <c r="O179" t="b">
        <v>1</v>
      </c>
      <c r="P179" t="b">
        <v>1</v>
      </c>
      <c r="Q179" t="b">
        <v>1</v>
      </c>
      <c r="R179">
        <v>50.89</v>
      </c>
      <c r="S179" t="b">
        <v>0</v>
      </c>
      <c r="T179" t="b">
        <v>0</v>
      </c>
      <c r="U179">
        <v>-2.8963</v>
      </c>
      <c r="V179">
        <v>-4.1035</v>
      </c>
      <c r="W179" t="b">
        <v>1</v>
      </c>
      <c r="X179" t="b">
        <v>0</v>
      </c>
      <c r="Y179">
        <v>5871500</v>
      </c>
      <c r="Z179">
        <v>8377070</v>
      </c>
      <c r="AA179" t="b">
        <v>0</v>
      </c>
      <c r="AB179">
        <v>190.2</v>
      </c>
      <c r="AC179">
        <v>208.4</v>
      </c>
      <c r="AD179">
        <v>171.99</v>
      </c>
      <c r="AE179">
        <v>0.62</v>
      </c>
      <c r="AF179">
        <v>0.191</v>
      </c>
      <c r="AG179">
        <v>219</v>
      </c>
      <c r="AH179">
        <v>177.92</v>
      </c>
      <c r="AI179" t="b">
        <v>0</v>
      </c>
      <c r="AJ179">
        <v>4.41</v>
      </c>
      <c r="AK179">
        <v>187.96</v>
      </c>
      <c r="AL179">
        <v>183.4</v>
      </c>
      <c r="AM179">
        <v>171.99</v>
      </c>
      <c r="AN179">
        <v>173.17</v>
      </c>
      <c r="AO179">
        <v>187.96</v>
      </c>
      <c r="AP179" t="s">
        <v>280</v>
      </c>
      <c r="AQ179">
        <v>173.17</v>
      </c>
      <c r="AR179">
        <v>214.03</v>
      </c>
      <c r="AS179">
        <v>0.05</v>
      </c>
      <c r="AT179">
        <v>0.07000000000000001</v>
      </c>
      <c r="AU179">
        <v>60</v>
      </c>
      <c r="AV179">
        <v>0.9093451409130144</v>
      </c>
      <c r="AW179">
        <v>4</v>
      </c>
      <c r="AX179">
        <v>5</v>
      </c>
      <c r="AY179">
        <v>46</v>
      </c>
      <c r="AZ179">
        <v>1000</v>
      </c>
      <c r="BA179">
        <v>15000</v>
      </c>
      <c r="BD179">
        <v>35.57</v>
      </c>
      <c r="BE179">
        <v>33.09</v>
      </c>
      <c r="BF179">
        <v>2.8</v>
      </c>
      <c r="BG179">
        <v>0.98</v>
      </c>
      <c r="BH179">
        <v>0.86</v>
      </c>
      <c r="BI179">
        <v>9.31</v>
      </c>
      <c r="BJ179">
        <v>10.08</v>
      </c>
      <c r="BK179">
        <v>29.11</v>
      </c>
      <c r="BM179">
        <v>2.39</v>
      </c>
      <c r="BN179" t="s">
        <v>285</v>
      </c>
      <c r="BO179" t="b">
        <v>0</v>
      </c>
      <c r="BP179" s="1">
        <f>IFERROR(RANK.EQ(AX179,AX$2:AX$213,0),"")</f>
        <v>0</v>
      </c>
      <c r="BQ179">
        <f>IFERROR(Y179/Z179,"")</f>
        <v>0</v>
      </c>
      <c r="BR179">
        <f>IFERROR(U179-V179,"")</f>
        <v>0</v>
      </c>
      <c r="BS179">
        <f>IFERROR(U179&gt;V179,"")</f>
        <v>0</v>
      </c>
      <c r="BT179">
        <f>IF(AND(ISNUMBER(D179),ISNUMBER(H179),D179&gt;=H179), OR(O179=TRUE,P179=TRUE), FALSE)</f>
        <v>0</v>
      </c>
      <c r="BU179">
        <f>AND(ISNUMBER(R179), R179&gt;=45, R179&lt;=60, W179=TRUE, E179&gt;=-20)</f>
        <v>0</v>
      </c>
      <c r="BV179">
        <f>OR(AI179=TRUE,AA179=TRUE)</f>
        <v>0</v>
      </c>
      <c r="BW179">
        <f>IFERROR( (AR179-D179) / MAX(D179-AQ179,1E-9) ,"")</f>
        <v>0</v>
      </c>
      <c r="BX179">
        <f>IFERROR(BW179&gt;=2, FALSE)</f>
        <v>0</v>
      </c>
      <c r="BY179" s="1">
        <f>IFERROR(ROUNDDOWN(MIN(IF(BA179&gt;0, BA179/D179, 1E99),IF(AZ179&gt;0, AZ179/MAX(D179-AQ179,1E-9), 1E99)),0),"")</f>
        <v>0</v>
      </c>
      <c r="BZ179" s="2">
        <f>IF(AND(ISNUMBER(D179),ISNUMBER(AT179)), D179*(1-AT179), "")</f>
        <v>0</v>
      </c>
      <c r="CA179">
        <f>AND(BT179=TRUE,BU179=TRUE,BV179=TRUE,BX179=TRUE)</f>
        <v>0</v>
      </c>
    </row>
    <row r="180" spans="1:79" x14ac:dyDescent="0.25">
      <c r="A180" t="s">
        <v>245</v>
      </c>
      <c r="B180">
        <f>HYPERLINK("data/charts/COF.png", "Open")</f>
        <v>0</v>
      </c>
      <c r="C180" t="s">
        <v>279</v>
      </c>
      <c r="D180">
        <v>215.43</v>
      </c>
      <c r="E180">
        <v>-7.32</v>
      </c>
      <c r="F180">
        <v>63.76</v>
      </c>
      <c r="G180">
        <v>12.88</v>
      </c>
      <c r="H180">
        <v>190.84</v>
      </c>
      <c r="I180">
        <v>0.1718</v>
      </c>
      <c r="J180" t="b">
        <v>1</v>
      </c>
      <c r="K180">
        <v>210.58</v>
      </c>
      <c r="L180">
        <v>213.61</v>
      </c>
      <c r="M180">
        <v>213.66</v>
      </c>
      <c r="N180">
        <v>209.17</v>
      </c>
      <c r="O180" t="b">
        <v>1</v>
      </c>
      <c r="P180" t="b">
        <v>1</v>
      </c>
      <c r="Q180" t="b">
        <v>1</v>
      </c>
      <c r="R180">
        <v>53.23</v>
      </c>
      <c r="S180" t="b">
        <v>0</v>
      </c>
      <c r="T180" t="b">
        <v>0</v>
      </c>
      <c r="U180">
        <v>1.1019</v>
      </c>
      <c r="V180">
        <v>0.8074</v>
      </c>
      <c r="W180" t="b">
        <v>1</v>
      </c>
      <c r="X180" t="b">
        <v>1</v>
      </c>
      <c r="Y180">
        <v>4463600</v>
      </c>
      <c r="Z180">
        <v>4228735</v>
      </c>
      <c r="AA180" t="b">
        <v>0</v>
      </c>
      <c r="AB180">
        <v>213.61</v>
      </c>
      <c r="AC180">
        <v>221.25</v>
      </c>
      <c r="AD180">
        <v>205.98</v>
      </c>
      <c r="AE180">
        <v>0.619</v>
      </c>
      <c r="AF180">
        <v>0.07099999999999999</v>
      </c>
      <c r="AG180">
        <v>232.45</v>
      </c>
      <c r="AH180">
        <v>203.63</v>
      </c>
      <c r="AI180" t="b">
        <v>0</v>
      </c>
      <c r="AJ180">
        <v>4.827</v>
      </c>
      <c r="AK180">
        <v>208.19</v>
      </c>
      <c r="AL180">
        <v>206.27</v>
      </c>
      <c r="AM180">
        <v>205.98</v>
      </c>
      <c r="AN180">
        <v>191.73</v>
      </c>
      <c r="AO180">
        <v>208.19</v>
      </c>
      <c r="AP180" t="s">
        <v>280</v>
      </c>
      <c r="AQ180">
        <v>191.73</v>
      </c>
      <c r="AR180">
        <v>236.97</v>
      </c>
      <c r="AS180">
        <v>0.05</v>
      </c>
      <c r="AT180">
        <v>0.07000000000000001</v>
      </c>
      <c r="AU180">
        <v>60</v>
      </c>
      <c r="AV180">
        <v>0.908861349405826</v>
      </c>
      <c r="AW180">
        <v>4</v>
      </c>
      <c r="AX180">
        <v>5</v>
      </c>
      <c r="AY180">
        <v>42</v>
      </c>
      <c r="AZ180">
        <v>1000</v>
      </c>
      <c r="BA180">
        <v>15000</v>
      </c>
      <c r="BD180">
        <v>582.24</v>
      </c>
      <c r="BE180">
        <v>13.76</v>
      </c>
      <c r="BF180">
        <v>1.11</v>
      </c>
      <c r="BG180">
        <v>6.67</v>
      </c>
      <c r="BH180">
        <v>0.47</v>
      </c>
      <c r="BI180">
        <v>25.77</v>
      </c>
      <c r="BJ180">
        <v>-347.98</v>
      </c>
      <c r="BK180">
        <v>-34.01</v>
      </c>
      <c r="BM180">
        <v>0.16</v>
      </c>
      <c r="BN180" t="s">
        <v>309</v>
      </c>
      <c r="BO180" t="b">
        <v>0</v>
      </c>
      <c r="BP180" s="1">
        <f>IFERROR(RANK.EQ(AX180,AX$2:AX$213,0),"")</f>
        <v>0</v>
      </c>
      <c r="BQ180">
        <f>IFERROR(Y180/Z180,"")</f>
        <v>0</v>
      </c>
      <c r="BR180">
        <f>IFERROR(U180-V180,"")</f>
        <v>0</v>
      </c>
      <c r="BS180">
        <f>IFERROR(U180&gt;V180,"")</f>
        <v>0</v>
      </c>
      <c r="BT180">
        <f>IF(AND(ISNUMBER(D180),ISNUMBER(H180),D180&gt;=H180), OR(O180=TRUE,P180=TRUE), FALSE)</f>
        <v>0</v>
      </c>
      <c r="BU180">
        <f>AND(ISNUMBER(R180), R180&gt;=45, R180&lt;=60, W180=TRUE, E180&gt;=-20)</f>
        <v>0</v>
      </c>
      <c r="BV180">
        <f>OR(AI180=TRUE,AA180=TRUE)</f>
        <v>0</v>
      </c>
      <c r="BW180">
        <f>IFERROR( (AR180-D180) / MAX(D180-AQ180,1E-9) ,"")</f>
        <v>0</v>
      </c>
      <c r="BX180">
        <f>IFERROR(BW180&gt;=2, FALSE)</f>
        <v>0</v>
      </c>
      <c r="BY180" s="1">
        <f>IFERROR(ROUNDDOWN(MIN(IF(BA180&gt;0, BA180/D180, 1E99),IF(AZ180&gt;0, AZ180/MAX(D180-AQ180,1E-9), 1E99)),0),"")</f>
        <v>0</v>
      </c>
      <c r="BZ180" s="2">
        <f>IF(AND(ISNUMBER(D180),ISNUMBER(AT180)), D180*(1-AT180), "")</f>
        <v>0</v>
      </c>
      <c r="CA180">
        <f>AND(BT180=TRUE,BU180=TRUE,BV180=TRUE,BX180=TRUE)</f>
        <v>0</v>
      </c>
    </row>
    <row r="181" spans="1:79" x14ac:dyDescent="0.25">
      <c r="A181" t="s">
        <v>246</v>
      </c>
      <c r="B181">
        <f>HYPERLINK("data/charts/NWS.png", "Open")</f>
        <v>0</v>
      </c>
      <c r="C181" t="s">
        <v>279</v>
      </c>
      <c r="D181">
        <v>34.03</v>
      </c>
      <c r="E181">
        <v>-4.36</v>
      </c>
      <c r="F181">
        <v>29.64</v>
      </c>
      <c r="G181">
        <v>6.54</v>
      </c>
      <c r="H181">
        <v>31.94</v>
      </c>
      <c r="I181">
        <v>0.0925</v>
      </c>
      <c r="J181" t="b">
        <v>1</v>
      </c>
      <c r="K181">
        <v>33.45</v>
      </c>
      <c r="L181">
        <v>33.59</v>
      </c>
      <c r="M181">
        <v>33.68</v>
      </c>
      <c r="N181">
        <v>33.39</v>
      </c>
      <c r="O181" t="b">
        <v>1</v>
      </c>
      <c r="P181" t="b">
        <v>1</v>
      </c>
      <c r="Q181" t="b">
        <v>1</v>
      </c>
      <c r="R181">
        <v>54.84</v>
      </c>
      <c r="S181" t="b">
        <v>0</v>
      </c>
      <c r="T181" t="b">
        <v>0</v>
      </c>
      <c r="U181">
        <v>0.0543</v>
      </c>
      <c r="V181">
        <v>0.0052</v>
      </c>
      <c r="W181" t="b">
        <v>1</v>
      </c>
      <c r="X181" t="b">
        <v>1</v>
      </c>
      <c r="Y181">
        <v>549200</v>
      </c>
      <c r="Z181">
        <v>816140</v>
      </c>
      <c r="AA181" t="b">
        <v>0</v>
      </c>
      <c r="AB181">
        <v>33.59</v>
      </c>
      <c r="AC181">
        <v>34.28</v>
      </c>
      <c r="AD181">
        <v>32.9</v>
      </c>
      <c r="AE181">
        <v>0.8159999999999999</v>
      </c>
      <c r="AF181">
        <v>0.041</v>
      </c>
      <c r="AG181">
        <v>35.58</v>
      </c>
      <c r="AH181">
        <v>32.39</v>
      </c>
      <c r="AI181" t="b">
        <v>0</v>
      </c>
      <c r="AJ181">
        <v>0.799</v>
      </c>
      <c r="AK181">
        <v>32.83</v>
      </c>
      <c r="AL181">
        <v>32.69</v>
      </c>
      <c r="AM181">
        <v>32.9</v>
      </c>
      <c r="AN181">
        <v>30.29</v>
      </c>
      <c r="AO181">
        <v>32.9</v>
      </c>
      <c r="AP181" t="s">
        <v>281</v>
      </c>
      <c r="AQ181">
        <v>30.29</v>
      </c>
      <c r="AR181">
        <v>37.43</v>
      </c>
      <c r="AS181">
        <v>0.05</v>
      </c>
      <c r="AT181">
        <v>0.07000000000000001</v>
      </c>
      <c r="AU181">
        <v>60</v>
      </c>
      <c r="AV181">
        <v>0.9090915322016038</v>
      </c>
      <c r="AW181">
        <v>4</v>
      </c>
      <c r="AX181">
        <v>5</v>
      </c>
      <c r="AY181">
        <v>267</v>
      </c>
      <c r="AZ181">
        <v>1000</v>
      </c>
      <c r="BA181">
        <v>15000</v>
      </c>
      <c r="BD181">
        <v>40.51</v>
      </c>
      <c r="BE181">
        <v>30.59</v>
      </c>
      <c r="BF181">
        <v>59</v>
      </c>
      <c r="BG181">
        <v>0.24</v>
      </c>
      <c r="BH181">
        <v>0.31</v>
      </c>
      <c r="BI181">
        <v>4.98</v>
      </c>
      <c r="BJ181">
        <v>621.36</v>
      </c>
      <c r="BK181">
        <v>35.23</v>
      </c>
      <c r="BM181">
        <v>0.03</v>
      </c>
      <c r="BN181" t="s">
        <v>290</v>
      </c>
      <c r="BO181" t="b">
        <v>0</v>
      </c>
      <c r="BP181" s="1">
        <f>IFERROR(RANK.EQ(AX181,AX$2:AX$213,0),"")</f>
        <v>0</v>
      </c>
      <c r="BQ181">
        <f>IFERROR(Y181/Z181,"")</f>
        <v>0</v>
      </c>
      <c r="BR181">
        <f>IFERROR(U181-V181,"")</f>
        <v>0</v>
      </c>
      <c r="BS181">
        <f>IFERROR(U181&gt;V181,"")</f>
        <v>0</v>
      </c>
      <c r="BT181">
        <f>IF(AND(ISNUMBER(D181),ISNUMBER(H181),D181&gt;=H181), OR(O181=TRUE,P181=TRUE), FALSE)</f>
        <v>0</v>
      </c>
      <c r="BU181">
        <f>AND(ISNUMBER(R181), R181&gt;=45, R181&lt;=60, W181=TRUE, E181&gt;=-20)</f>
        <v>0</v>
      </c>
      <c r="BV181">
        <f>OR(AI181=TRUE,AA181=TRUE)</f>
        <v>0</v>
      </c>
      <c r="BW181">
        <f>IFERROR( (AR181-D181) / MAX(D181-AQ181,1E-9) ,"")</f>
        <v>0</v>
      </c>
      <c r="BX181">
        <f>IFERROR(BW181&gt;=2, FALSE)</f>
        <v>0</v>
      </c>
      <c r="BY181" s="1">
        <f>IFERROR(ROUNDDOWN(MIN(IF(BA181&gt;0, BA181/D181, 1E99),IF(AZ181&gt;0, AZ181/MAX(D181-AQ181,1E-9), 1E99)),0),"")</f>
        <v>0</v>
      </c>
      <c r="BZ181" s="2">
        <f>IF(AND(ISNUMBER(D181),ISNUMBER(AT181)), D181*(1-AT181), "")</f>
        <v>0</v>
      </c>
      <c r="CA181">
        <f>AND(BT181=TRUE,BU181=TRUE,BV181=TRUE,BX181=TRUE)</f>
        <v>0</v>
      </c>
    </row>
    <row r="182" spans="1:79" x14ac:dyDescent="0.25">
      <c r="A182" t="s">
        <v>247</v>
      </c>
      <c r="B182">
        <f>HYPERLINK("data/charts/BEN.png", "Open")</f>
        <v>0</v>
      </c>
      <c r="C182" t="s">
        <v>279</v>
      </c>
      <c r="D182">
        <v>25.33</v>
      </c>
      <c r="E182">
        <v>-2.88</v>
      </c>
      <c r="F182">
        <v>55.88</v>
      </c>
      <c r="G182">
        <v>18.79</v>
      </c>
      <c r="H182">
        <v>21.32</v>
      </c>
      <c r="I182">
        <v>0.0963</v>
      </c>
      <c r="J182" t="b">
        <v>1</v>
      </c>
      <c r="K182">
        <v>24.08</v>
      </c>
      <c r="L182">
        <v>24.9</v>
      </c>
      <c r="M182">
        <v>24.96</v>
      </c>
      <c r="N182">
        <v>24.03</v>
      </c>
      <c r="O182" t="b">
        <v>1</v>
      </c>
      <c r="P182" t="b">
        <v>1</v>
      </c>
      <c r="Q182" t="b">
        <v>1</v>
      </c>
      <c r="R182">
        <v>57.59</v>
      </c>
      <c r="S182" t="b">
        <v>0</v>
      </c>
      <c r="T182" t="b">
        <v>0</v>
      </c>
      <c r="U182">
        <v>0.4239</v>
      </c>
      <c r="V182">
        <v>0.3958</v>
      </c>
      <c r="W182" t="b">
        <v>1</v>
      </c>
      <c r="X182" t="b">
        <v>1</v>
      </c>
      <c r="Y182">
        <v>4280700</v>
      </c>
      <c r="Z182">
        <v>4172665</v>
      </c>
      <c r="AA182" t="b">
        <v>0</v>
      </c>
      <c r="AB182">
        <v>24.9</v>
      </c>
      <c r="AC182">
        <v>25.98</v>
      </c>
      <c r="AD182">
        <v>23.82</v>
      </c>
      <c r="AE182">
        <v>0.699</v>
      </c>
      <c r="AF182">
        <v>0.08699999999999999</v>
      </c>
      <c r="AG182">
        <v>26.08</v>
      </c>
      <c r="AH182">
        <v>22.84</v>
      </c>
      <c r="AI182" t="b">
        <v>0</v>
      </c>
      <c r="AJ182">
        <v>0.594</v>
      </c>
      <c r="AK182">
        <v>24.44</v>
      </c>
      <c r="AL182">
        <v>24.54</v>
      </c>
      <c r="AM182">
        <v>23.82</v>
      </c>
      <c r="AN182">
        <v>22.54</v>
      </c>
      <c r="AO182">
        <v>24.54</v>
      </c>
      <c r="AP182" t="s">
        <v>282</v>
      </c>
      <c r="AQ182">
        <v>22.54</v>
      </c>
      <c r="AR182">
        <v>27.86</v>
      </c>
      <c r="AS182">
        <v>0.05</v>
      </c>
      <c r="AT182">
        <v>0.07000000000000001</v>
      </c>
      <c r="AU182">
        <v>60</v>
      </c>
      <c r="AV182">
        <v>0.9068100879849689</v>
      </c>
      <c r="AW182">
        <v>4</v>
      </c>
      <c r="AX182">
        <v>5</v>
      </c>
      <c r="AY182">
        <v>358</v>
      </c>
      <c r="AZ182">
        <v>1000</v>
      </c>
      <c r="BA182">
        <v>15000</v>
      </c>
      <c r="BD182">
        <v>49.67</v>
      </c>
      <c r="BE182">
        <v>9.74</v>
      </c>
      <c r="BF182">
        <v>5.05</v>
      </c>
      <c r="BG182">
        <v>2.49</v>
      </c>
      <c r="BH182">
        <v>0.92</v>
      </c>
      <c r="BI182">
        <v>-2.24</v>
      </c>
      <c r="BJ182">
        <v>-39.04</v>
      </c>
      <c r="BK182">
        <v>4.47</v>
      </c>
      <c r="BM182">
        <v>-1.06</v>
      </c>
      <c r="BN182" t="s">
        <v>288</v>
      </c>
      <c r="BO182" t="b">
        <v>0</v>
      </c>
      <c r="BP182" s="1">
        <f>IFERROR(RANK.EQ(AX182,AX$2:AX$213,0),"")</f>
        <v>0</v>
      </c>
      <c r="BQ182">
        <f>IFERROR(Y182/Z182,"")</f>
        <v>0</v>
      </c>
      <c r="BR182">
        <f>IFERROR(U182-V182,"")</f>
        <v>0</v>
      </c>
      <c r="BS182">
        <f>IFERROR(U182&gt;V182,"")</f>
        <v>0</v>
      </c>
      <c r="BT182">
        <f>IF(AND(ISNUMBER(D182),ISNUMBER(H182),D182&gt;=H182), OR(O182=TRUE,P182=TRUE), FALSE)</f>
        <v>0</v>
      </c>
      <c r="BU182">
        <f>AND(ISNUMBER(R182), R182&gt;=45, R182&lt;=60, W182=TRUE, E182&gt;=-20)</f>
        <v>0</v>
      </c>
      <c r="BV182">
        <f>OR(AI182=TRUE,AA182=TRUE)</f>
        <v>0</v>
      </c>
      <c r="BW182">
        <f>IFERROR( (AR182-D182) / MAX(D182-AQ182,1E-9) ,"")</f>
        <v>0</v>
      </c>
      <c r="BX182">
        <f>IFERROR(BW182&gt;=2, FALSE)</f>
        <v>0</v>
      </c>
      <c r="BY182" s="1">
        <f>IFERROR(ROUNDDOWN(MIN(IF(BA182&gt;0, BA182/D182, 1E99),IF(AZ182&gt;0, AZ182/MAX(D182-AQ182,1E-9), 1E99)),0),"")</f>
        <v>0</v>
      </c>
      <c r="BZ182" s="2">
        <f>IF(AND(ISNUMBER(D182),ISNUMBER(AT182)), D182*(1-AT182), "")</f>
        <v>0</v>
      </c>
      <c r="CA182">
        <f>AND(BT182=TRUE,BU182=TRUE,BV182=TRUE,BX182=TRUE)</f>
        <v>0</v>
      </c>
    </row>
    <row r="183" spans="1:79" x14ac:dyDescent="0.25">
      <c r="A183" t="s">
        <v>248</v>
      </c>
      <c r="B183">
        <f>HYPERLINK("data/charts/AP-UN_TO.png", "Open")</f>
        <v>0</v>
      </c>
      <c r="C183" t="s">
        <v>279</v>
      </c>
      <c r="D183">
        <v>17.93</v>
      </c>
      <c r="E183">
        <v>-13.55</v>
      </c>
      <c r="F183">
        <v>33.41</v>
      </c>
      <c r="G183">
        <v>5.84</v>
      </c>
      <c r="H183">
        <v>16.94</v>
      </c>
      <c r="I183">
        <v>-0.0457</v>
      </c>
      <c r="J183" t="b">
        <v>0</v>
      </c>
      <c r="K183">
        <v>17.38</v>
      </c>
      <c r="L183">
        <v>17.58</v>
      </c>
      <c r="M183">
        <v>17.54</v>
      </c>
      <c r="N183">
        <v>17.25</v>
      </c>
      <c r="O183" t="b">
        <v>1</v>
      </c>
      <c r="P183" t="b">
        <v>1</v>
      </c>
      <c r="Q183" t="b">
        <v>1</v>
      </c>
      <c r="R183">
        <v>61.68</v>
      </c>
      <c r="S183" t="b">
        <v>0</v>
      </c>
      <c r="T183" t="b">
        <v>0</v>
      </c>
      <c r="U183">
        <v>0.0633</v>
      </c>
      <c r="V183">
        <v>0.0406</v>
      </c>
      <c r="W183" t="b">
        <v>1</v>
      </c>
      <c r="X183" t="b">
        <v>1</v>
      </c>
      <c r="Y183">
        <v>556400</v>
      </c>
      <c r="Z183">
        <v>598230</v>
      </c>
      <c r="AA183" t="b">
        <v>0</v>
      </c>
      <c r="AB183">
        <v>17.58</v>
      </c>
      <c r="AC183">
        <v>18.27</v>
      </c>
      <c r="AD183">
        <v>16.9</v>
      </c>
      <c r="AE183">
        <v>0.754</v>
      </c>
      <c r="AF183">
        <v>0.077</v>
      </c>
      <c r="AG183">
        <v>18.18</v>
      </c>
      <c r="AH183">
        <v>16.82</v>
      </c>
      <c r="AI183" t="b">
        <v>0</v>
      </c>
      <c r="AJ183">
        <v>0.321</v>
      </c>
      <c r="AK183">
        <v>17.45</v>
      </c>
      <c r="AL183">
        <v>17.08</v>
      </c>
      <c r="AM183">
        <v>16.9</v>
      </c>
      <c r="AN183">
        <v>15.96</v>
      </c>
      <c r="AO183">
        <v>17.45</v>
      </c>
      <c r="AP183" t="s">
        <v>280</v>
      </c>
      <c r="AQ183">
        <v>15.96</v>
      </c>
      <c r="AR183">
        <v>19.72</v>
      </c>
      <c r="AS183">
        <v>0.05</v>
      </c>
      <c r="AT183">
        <v>0.07000000000000001</v>
      </c>
      <c r="AU183">
        <v>60</v>
      </c>
      <c r="AV183">
        <v>0.908629145955639</v>
      </c>
      <c r="AW183">
        <v>4</v>
      </c>
      <c r="AX183">
        <v>5</v>
      </c>
      <c r="AY183">
        <v>507</v>
      </c>
      <c r="AZ183">
        <v>1000</v>
      </c>
      <c r="BA183">
        <v>15000</v>
      </c>
      <c r="BE183">
        <v>9.85</v>
      </c>
      <c r="BF183">
        <v>10.04</v>
      </c>
      <c r="BG183">
        <v>3.99</v>
      </c>
      <c r="BH183">
        <v>0.87</v>
      </c>
      <c r="BI183">
        <v>-3.71</v>
      </c>
      <c r="BJ183">
        <v>-12</v>
      </c>
      <c r="BK183">
        <v>-65.31999999999999</v>
      </c>
      <c r="BN183" t="s">
        <v>288</v>
      </c>
      <c r="BO183" t="b">
        <v>0</v>
      </c>
      <c r="BP183" s="1">
        <f>IFERROR(RANK.EQ(AX183,AX$2:AX$213,0),"")</f>
        <v>0</v>
      </c>
      <c r="BQ183">
        <f>IFERROR(Y183/Z183,"")</f>
        <v>0</v>
      </c>
      <c r="BR183">
        <f>IFERROR(U183-V183,"")</f>
        <v>0</v>
      </c>
      <c r="BS183">
        <f>IFERROR(U183&gt;V183,"")</f>
        <v>0</v>
      </c>
      <c r="BT183">
        <f>IF(AND(ISNUMBER(D183),ISNUMBER(H183),D183&gt;=H183), OR(O183=TRUE,P183=TRUE), FALSE)</f>
        <v>0</v>
      </c>
      <c r="BU183">
        <f>AND(ISNUMBER(R183), R183&gt;=45, R183&lt;=60, W183=TRUE, E183&gt;=-20)</f>
        <v>0</v>
      </c>
      <c r="BV183">
        <f>OR(AI183=TRUE,AA183=TRUE)</f>
        <v>0</v>
      </c>
      <c r="BW183">
        <f>IFERROR( (AR183-D183) / MAX(D183-AQ183,1E-9) ,"")</f>
        <v>0</v>
      </c>
      <c r="BX183">
        <f>IFERROR(BW183&gt;=2, FALSE)</f>
        <v>0</v>
      </c>
      <c r="BY183" s="1">
        <f>IFERROR(ROUNDDOWN(MIN(IF(BA183&gt;0, BA183/D183, 1E99),IF(AZ183&gt;0, AZ183/MAX(D183-AQ183,1E-9), 1E99)),0),"")</f>
        <v>0</v>
      </c>
      <c r="BZ183" s="2">
        <f>IF(AND(ISNUMBER(D183),ISNUMBER(AT183)), D183*(1-AT183), "")</f>
        <v>0</v>
      </c>
      <c r="CA183">
        <f>AND(BT183=TRUE,BU183=TRUE,BV183=TRUE,BX183=TRUE)</f>
        <v>0</v>
      </c>
    </row>
    <row r="184" spans="1:79" x14ac:dyDescent="0.25">
      <c r="A184" t="s">
        <v>249</v>
      </c>
      <c r="B184">
        <f>HYPERLINK("data/charts/DOO_TO.png", "Open")</f>
        <v>0</v>
      </c>
      <c r="C184" t="s">
        <v>279</v>
      </c>
      <c r="D184">
        <v>78.20999999999999</v>
      </c>
      <c r="E184">
        <v>-20.32</v>
      </c>
      <c r="F184">
        <v>78.23999999999999</v>
      </c>
      <c r="G184">
        <v>23.59</v>
      </c>
      <c r="H184">
        <v>63.28</v>
      </c>
      <c r="I184">
        <v>-0.1149</v>
      </c>
      <c r="J184" t="b">
        <v>0</v>
      </c>
      <c r="K184">
        <v>68.53</v>
      </c>
      <c r="L184">
        <v>71.08</v>
      </c>
      <c r="M184">
        <v>72.01000000000001</v>
      </c>
      <c r="N184">
        <v>67.86</v>
      </c>
      <c r="O184" t="b">
        <v>1</v>
      </c>
      <c r="P184" t="b">
        <v>1</v>
      </c>
      <c r="Q184" t="b">
        <v>1</v>
      </c>
      <c r="R184">
        <v>68.26000000000001</v>
      </c>
      <c r="S184" t="b">
        <v>0</v>
      </c>
      <c r="T184" t="b">
        <v>0</v>
      </c>
      <c r="U184">
        <v>2.7705</v>
      </c>
      <c r="V184">
        <v>1.9276</v>
      </c>
      <c r="W184" t="b">
        <v>1</v>
      </c>
      <c r="X184" t="b">
        <v>0</v>
      </c>
      <c r="Y184">
        <v>118800</v>
      </c>
      <c r="Z184">
        <v>146905</v>
      </c>
      <c r="AA184" t="b">
        <v>0</v>
      </c>
      <c r="AB184">
        <v>71.08</v>
      </c>
      <c r="AC184">
        <v>78.90000000000001</v>
      </c>
      <c r="AD184">
        <v>63.27</v>
      </c>
      <c r="AE184">
        <v>0.956</v>
      </c>
      <c r="AF184">
        <v>0.22</v>
      </c>
      <c r="AG184">
        <v>80.12</v>
      </c>
      <c r="AH184">
        <v>65.26000000000001</v>
      </c>
      <c r="AI184" t="b">
        <v>0</v>
      </c>
      <c r="AJ184">
        <v>2.327</v>
      </c>
      <c r="AK184">
        <v>74.72</v>
      </c>
      <c r="AL184">
        <v>69.90000000000001</v>
      </c>
      <c r="AM184">
        <v>63.27</v>
      </c>
      <c r="AN184">
        <v>69.61</v>
      </c>
      <c r="AO184">
        <v>74.72</v>
      </c>
      <c r="AP184" t="s">
        <v>280</v>
      </c>
      <c r="AQ184">
        <v>69.61</v>
      </c>
      <c r="AR184">
        <v>86.03</v>
      </c>
      <c r="AS184">
        <v>0.05</v>
      </c>
      <c r="AT184">
        <v>0.07000000000000001</v>
      </c>
      <c r="AU184">
        <v>60</v>
      </c>
      <c r="AV184">
        <v>0.9093025288393806</v>
      </c>
      <c r="AW184">
        <v>4</v>
      </c>
      <c r="AX184">
        <v>5</v>
      </c>
      <c r="AY184">
        <v>116</v>
      </c>
      <c r="AZ184">
        <v>1000</v>
      </c>
      <c r="BA184">
        <v>15000</v>
      </c>
      <c r="BD184">
        <v>31.66</v>
      </c>
      <c r="BE184">
        <v>14.46</v>
      </c>
      <c r="BF184">
        <v>1.1</v>
      </c>
      <c r="BG184">
        <v>0.34</v>
      </c>
      <c r="BH184">
        <v>6.41</v>
      </c>
      <c r="BI184">
        <v>-11.95</v>
      </c>
      <c r="BJ184">
        <v>-168.52</v>
      </c>
      <c r="BK184">
        <v>8.130000000000001</v>
      </c>
      <c r="BM184">
        <v>-0.41</v>
      </c>
      <c r="BN184" t="s">
        <v>319</v>
      </c>
      <c r="BO184" t="b">
        <v>0</v>
      </c>
      <c r="BP184" s="1">
        <f>IFERROR(RANK.EQ(AX184,AX$2:AX$213,0),"")</f>
        <v>0</v>
      </c>
      <c r="BQ184">
        <f>IFERROR(Y184/Z184,"")</f>
        <v>0</v>
      </c>
      <c r="BR184">
        <f>IFERROR(U184-V184,"")</f>
        <v>0</v>
      </c>
      <c r="BS184">
        <f>IFERROR(U184&gt;V184,"")</f>
        <v>0</v>
      </c>
      <c r="BT184">
        <f>IF(AND(ISNUMBER(D184),ISNUMBER(H184),D184&gt;=H184), OR(O184=TRUE,P184=TRUE), FALSE)</f>
        <v>0</v>
      </c>
      <c r="BU184">
        <f>AND(ISNUMBER(R184), R184&gt;=45, R184&lt;=60, W184=TRUE, E184&gt;=-20)</f>
        <v>0</v>
      </c>
      <c r="BV184">
        <f>OR(AI184=TRUE,AA184=TRUE)</f>
        <v>0</v>
      </c>
      <c r="BW184">
        <f>IFERROR( (AR184-D184) / MAX(D184-AQ184,1E-9) ,"")</f>
        <v>0</v>
      </c>
      <c r="BX184">
        <f>IFERROR(BW184&gt;=2, FALSE)</f>
        <v>0</v>
      </c>
      <c r="BY184" s="1">
        <f>IFERROR(ROUNDDOWN(MIN(IF(BA184&gt;0, BA184/D184, 1E99),IF(AZ184&gt;0, AZ184/MAX(D184-AQ184,1E-9), 1E99)),0),"")</f>
        <v>0</v>
      </c>
      <c r="BZ184" s="2">
        <f>IF(AND(ISNUMBER(D184),ISNUMBER(AT184)), D184*(1-AT184), "")</f>
        <v>0</v>
      </c>
      <c r="CA184">
        <f>AND(BT184=TRUE,BU184=TRUE,BV184=TRUE,BX184=TRUE)</f>
        <v>0</v>
      </c>
    </row>
    <row r="185" spans="1:79" x14ac:dyDescent="0.25">
      <c r="A185" t="s">
        <v>250</v>
      </c>
      <c r="B185">
        <f>HYPERLINK("data/charts/MKTX.png", "Open")</f>
        <v>0</v>
      </c>
      <c r="C185" t="s">
        <v>279</v>
      </c>
      <c r="D185">
        <v>190.04</v>
      </c>
      <c r="E185">
        <v>-35.94</v>
      </c>
      <c r="F185">
        <v>3.85</v>
      </c>
      <c r="G185">
        <v>-14.75</v>
      </c>
      <c r="H185">
        <v>222.92</v>
      </c>
      <c r="I185">
        <v>-0.1058</v>
      </c>
      <c r="J185" t="b">
        <v>0</v>
      </c>
      <c r="K185">
        <v>212.49</v>
      </c>
      <c r="L185">
        <v>200.68</v>
      </c>
      <c r="M185">
        <v>199.04</v>
      </c>
      <c r="N185">
        <v>207.59</v>
      </c>
      <c r="O185" t="b">
        <v>0</v>
      </c>
      <c r="P185" t="b">
        <v>0</v>
      </c>
      <c r="Q185" t="b">
        <v>0</v>
      </c>
      <c r="R185">
        <v>34.64</v>
      </c>
      <c r="S185" t="b">
        <v>1</v>
      </c>
      <c r="T185" t="b">
        <v>1</v>
      </c>
      <c r="U185">
        <v>-7.399</v>
      </c>
      <c r="V185">
        <v>-6.4114</v>
      </c>
      <c r="W185" t="b">
        <v>0</v>
      </c>
      <c r="X185" t="b">
        <v>1</v>
      </c>
      <c r="Y185">
        <v>687000</v>
      </c>
      <c r="Z185">
        <v>584865</v>
      </c>
      <c r="AA185" t="b">
        <v>0</v>
      </c>
      <c r="AB185">
        <v>200.68</v>
      </c>
      <c r="AC185">
        <v>222.1</v>
      </c>
      <c r="AD185">
        <v>179.25</v>
      </c>
      <c r="AE185">
        <v>0.252</v>
      </c>
      <c r="AF185">
        <v>0.214</v>
      </c>
      <c r="AG185">
        <v>214.98</v>
      </c>
      <c r="AH185">
        <v>183</v>
      </c>
      <c r="AI185" t="b">
        <v>0</v>
      </c>
      <c r="AJ185">
        <v>4.975</v>
      </c>
      <c r="AK185">
        <v>182.58</v>
      </c>
      <c r="AL185">
        <v>183</v>
      </c>
      <c r="AM185">
        <v>179.25</v>
      </c>
      <c r="AN185">
        <v>169.14</v>
      </c>
      <c r="AO185">
        <v>183</v>
      </c>
      <c r="AP185" t="s">
        <v>282</v>
      </c>
      <c r="AQ185">
        <v>169.14</v>
      </c>
      <c r="AR185">
        <v>209.04</v>
      </c>
      <c r="AS185">
        <v>0.05</v>
      </c>
      <c r="AT185">
        <v>0.07000000000000001</v>
      </c>
      <c r="AU185">
        <v>60</v>
      </c>
      <c r="AV185">
        <v>0.9090915223630101</v>
      </c>
      <c r="AW185">
        <v>3</v>
      </c>
      <c r="AX185">
        <v>5</v>
      </c>
      <c r="AY185">
        <v>47</v>
      </c>
      <c r="AZ185">
        <v>1000</v>
      </c>
      <c r="BA185">
        <v>15000</v>
      </c>
      <c r="BD185">
        <v>31.94</v>
      </c>
      <c r="BE185">
        <v>23.09</v>
      </c>
      <c r="BF185">
        <v>1.6</v>
      </c>
      <c r="BG185">
        <v>0.51</v>
      </c>
      <c r="BH185">
        <v>0.05</v>
      </c>
      <c r="BI185">
        <v>5.22</v>
      </c>
      <c r="BJ185">
        <v>377.5</v>
      </c>
      <c r="BK185">
        <v>32.43</v>
      </c>
      <c r="BM185">
        <v>3.33</v>
      </c>
      <c r="BN185" t="s">
        <v>285</v>
      </c>
      <c r="BO185" t="b">
        <v>0</v>
      </c>
      <c r="BP185" s="1">
        <f>IFERROR(RANK.EQ(AX185,AX$2:AX$213,0),"")</f>
        <v>0</v>
      </c>
      <c r="BQ185">
        <f>IFERROR(Y185/Z185,"")</f>
        <v>0</v>
      </c>
      <c r="BR185">
        <f>IFERROR(U185-V185,"")</f>
        <v>0</v>
      </c>
      <c r="BS185">
        <f>IFERROR(U185&gt;V185,"")</f>
        <v>0</v>
      </c>
      <c r="BT185">
        <f>IF(AND(ISNUMBER(D185),ISNUMBER(H185),D185&gt;=H185), OR(O185=TRUE,P185=TRUE), FALSE)</f>
        <v>0</v>
      </c>
      <c r="BU185">
        <f>AND(ISNUMBER(R185), R185&gt;=45, R185&lt;=60, W185=TRUE, E185&gt;=-20)</f>
        <v>0</v>
      </c>
      <c r="BV185">
        <f>OR(AI185=TRUE,AA185=TRUE)</f>
        <v>0</v>
      </c>
      <c r="BW185">
        <f>IFERROR( (AR185-D185) / MAX(D185-AQ185,1E-9) ,"")</f>
        <v>0</v>
      </c>
      <c r="BX185">
        <f>IFERROR(BW185&gt;=2, FALSE)</f>
        <v>0</v>
      </c>
      <c r="BY185" s="1">
        <f>IFERROR(ROUNDDOWN(MIN(IF(BA185&gt;0, BA185/D185, 1E99),IF(AZ185&gt;0, AZ185/MAX(D185-AQ185,1E-9), 1E99)),0),"")</f>
        <v>0</v>
      </c>
      <c r="BZ185" s="2">
        <f>IF(AND(ISNUMBER(D185),ISNUMBER(AT185)), D185*(1-AT185), "")</f>
        <v>0</v>
      </c>
      <c r="CA185">
        <f>AND(BT185=TRUE,BU185=TRUE,BV185=TRUE,BX185=TRUE)</f>
        <v>0</v>
      </c>
    </row>
    <row r="186" spans="1:79" x14ac:dyDescent="0.25">
      <c r="A186" t="s">
        <v>251</v>
      </c>
      <c r="B186">
        <f>HYPERLINK("data/charts/WAT.png", "Open")</f>
        <v>0</v>
      </c>
      <c r="C186" t="s">
        <v>279</v>
      </c>
      <c r="D186">
        <v>291.55</v>
      </c>
      <c r="E186">
        <v>-31.17</v>
      </c>
      <c r="F186">
        <v>6</v>
      </c>
      <c r="G186">
        <v>-18.33</v>
      </c>
      <c r="H186">
        <v>357</v>
      </c>
      <c r="I186">
        <v>-0.0324</v>
      </c>
      <c r="J186" t="b">
        <v>0</v>
      </c>
      <c r="K186">
        <v>319.55</v>
      </c>
      <c r="L186">
        <v>290.01</v>
      </c>
      <c r="M186">
        <v>294.69</v>
      </c>
      <c r="N186">
        <v>312.04</v>
      </c>
      <c r="O186" t="b">
        <v>0</v>
      </c>
      <c r="P186" t="b">
        <v>0</v>
      </c>
      <c r="Q186" t="b">
        <v>1</v>
      </c>
      <c r="R186">
        <v>44.3</v>
      </c>
      <c r="S186" t="b">
        <v>0</v>
      </c>
      <c r="T186" t="b">
        <v>0</v>
      </c>
      <c r="U186">
        <v>-8.491199999999999</v>
      </c>
      <c r="V186">
        <v>-11.1665</v>
      </c>
      <c r="W186" t="b">
        <v>1</v>
      </c>
      <c r="X186" t="b">
        <v>1</v>
      </c>
      <c r="Y186">
        <v>414500</v>
      </c>
      <c r="Z186">
        <v>1018410</v>
      </c>
      <c r="AA186" t="b">
        <v>0</v>
      </c>
      <c r="AB186">
        <v>290.01</v>
      </c>
      <c r="AC186">
        <v>306.89</v>
      </c>
      <c r="AD186">
        <v>273.14</v>
      </c>
      <c r="AE186">
        <v>0.546</v>
      </c>
      <c r="AF186">
        <v>0.116</v>
      </c>
      <c r="AG186">
        <v>305.87</v>
      </c>
      <c r="AH186">
        <v>275.05</v>
      </c>
      <c r="AI186" t="b">
        <v>0</v>
      </c>
      <c r="AJ186">
        <v>7.48</v>
      </c>
      <c r="AK186">
        <v>280.33</v>
      </c>
      <c r="AL186">
        <v>275.05</v>
      </c>
      <c r="AM186">
        <v>273.14</v>
      </c>
      <c r="AN186">
        <v>259.48</v>
      </c>
      <c r="AO186">
        <v>280.33</v>
      </c>
      <c r="AP186" t="s">
        <v>280</v>
      </c>
      <c r="AQ186">
        <v>259.48</v>
      </c>
      <c r="AR186">
        <v>320.7</v>
      </c>
      <c r="AS186">
        <v>0.05</v>
      </c>
      <c r="AT186">
        <v>0.07000000000000001</v>
      </c>
      <c r="AU186">
        <v>60</v>
      </c>
      <c r="AV186">
        <v>0.908949900299691</v>
      </c>
      <c r="AW186">
        <v>3</v>
      </c>
      <c r="AX186">
        <v>5</v>
      </c>
      <c r="AY186">
        <v>31</v>
      </c>
      <c r="AZ186">
        <v>1000</v>
      </c>
      <c r="BA186">
        <v>15000</v>
      </c>
      <c r="BD186">
        <v>26.31</v>
      </c>
      <c r="BE186">
        <v>22.55</v>
      </c>
      <c r="BG186">
        <v>0</v>
      </c>
      <c r="BH186">
        <v>0.71</v>
      </c>
      <c r="BI186">
        <v>16.57</v>
      </c>
      <c r="BJ186">
        <v>21.08</v>
      </c>
      <c r="BK186">
        <v>19.07</v>
      </c>
      <c r="BM186">
        <v>8.49</v>
      </c>
      <c r="BN186" t="s">
        <v>285</v>
      </c>
      <c r="BO186" t="b">
        <v>0</v>
      </c>
      <c r="BP186" s="1">
        <f>IFERROR(RANK.EQ(AX186,AX$2:AX$213,0),"")</f>
        <v>0</v>
      </c>
      <c r="BQ186">
        <f>IFERROR(Y186/Z186,"")</f>
        <v>0</v>
      </c>
      <c r="BR186">
        <f>IFERROR(U186-V186,"")</f>
        <v>0</v>
      </c>
      <c r="BS186">
        <f>IFERROR(U186&gt;V186,"")</f>
        <v>0</v>
      </c>
      <c r="BT186">
        <f>IF(AND(ISNUMBER(D186),ISNUMBER(H186),D186&gt;=H186), OR(O186=TRUE,P186=TRUE), FALSE)</f>
        <v>0</v>
      </c>
      <c r="BU186">
        <f>AND(ISNUMBER(R186), R186&gt;=45, R186&lt;=60, W186=TRUE, E186&gt;=-20)</f>
        <v>0</v>
      </c>
      <c r="BV186">
        <f>OR(AI186=TRUE,AA186=TRUE)</f>
        <v>0</v>
      </c>
      <c r="BW186">
        <f>IFERROR( (AR186-D186) / MAX(D186-AQ186,1E-9) ,"")</f>
        <v>0</v>
      </c>
      <c r="BX186">
        <f>IFERROR(BW186&gt;=2, FALSE)</f>
        <v>0</v>
      </c>
      <c r="BY186" s="1">
        <f>IFERROR(ROUNDDOWN(MIN(IF(BA186&gt;0, BA186/D186, 1E99),IF(AZ186&gt;0, AZ186/MAX(D186-AQ186,1E-9), 1E99)),0),"")</f>
        <v>0</v>
      </c>
      <c r="BZ186" s="2">
        <f>IF(AND(ISNUMBER(D186),ISNUMBER(AT186)), D186*(1-AT186), "")</f>
        <v>0</v>
      </c>
      <c r="CA186">
        <f>AND(BT186=TRUE,BU186=TRUE,BV186=TRUE,BX186=TRUE)</f>
        <v>0</v>
      </c>
    </row>
    <row r="187" spans="1:79" x14ac:dyDescent="0.25">
      <c r="A187" t="s">
        <v>252</v>
      </c>
      <c r="B187">
        <f>HYPERLINK("data/charts/TGT.png", "Open")</f>
        <v>0</v>
      </c>
      <c r="C187" t="s">
        <v>279</v>
      </c>
      <c r="D187">
        <v>103.02</v>
      </c>
      <c r="E187">
        <v>-38.46</v>
      </c>
      <c r="F187">
        <v>17.94</v>
      </c>
      <c r="G187">
        <v>-10.95</v>
      </c>
      <c r="H187">
        <v>115.69</v>
      </c>
      <c r="I187">
        <v>-0.222</v>
      </c>
      <c r="J187" t="b">
        <v>0</v>
      </c>
      <c r="K187">
        <v>101.56</v>
      </c>
      <c r="L187">
        <v>104.16</v>
      </c>
      <c r="M187">
        <v>103.74</v>
      </c>
      <c r="N187">
        <v>102.43</v>
      </c>
      <c r="O187" t="b">
        <v>0</v>
      </c>
      <c r="P187" t="b">
        <v>1</v>
      </c>
      <c r="Q187" t="b">
        <v>0</v>
      </c>
      <c r="R187">
        <v>48.98</v>
      </c>
      <c r="S187" t="b">
        <v>0</v>
      </c>
      <c r="T187" t="b">
        <v>0</v>
      </c>
      <c r="U187">
        <v>0.6828</v>
      </c>
      <c r="V187">
        <v>0.8284</v>
      </c>
      <c r="W187" t="b">
        <v>1</v>
      </c>
      <c r="X187" t="b">
        <v>0</v>
      </c>
      <c r="Y187">
        <v>6292400</v>
      </c>
      <c r="Z187">
        <v>5250775</v>
      </c>
      <c r="AA187" t="b">
        <v>0</v>
      </c>
      <c r="AB187">
        <v>104.16</v>
      </c>
      <c r="AC187">
        <v>108.68</v>
      </c>
      <c r="AD187">
        <v>99.64</v>
      </c>
      <c r="AE187">
        <v>0.374</v>
      </c>
      <c r="AF187">
        <v>0.08699999999999999</v>
      </c>
      <c r="AG187">
        <v>108.9</v>
      </c>
      <c r="AH187">
        <v>98.44</v>
      </c>
      <c r="AI187" t="b">
        <v>0</v>
      </c>
      <c r="AJ187">
        <v>2.536</v>
      </c>
      <c r="AK187">
        <v>99.22</v>
      </c>
      <c r="AL187">
        <v>98.44</v>
      </c>
      <c r="AM187">
        <v>99.64</v>
      </c>
      <c r="AN187">
        <v>91.69</v>
      </c>
      <c r="AO187">
        <v>99.64</v>
      </c>
      <c r="AP187" t="s">
        <v>281</v>
      </c>
      <c r="AQ187">
        <v>91.69</v>
      </c>
      <c r="AR187">
        <v>113.32</v>
      </c>
      <c r="AS187">
        <v>0.05</v>
      </c>
      <c r="AT187">
        <v>0.07000000000000001</v>
      </c>
      <c r="AU187">
        <v>60</v>
      </c>
      <c r="AV187">
        <v>0.9090914747302115</v>
      </c>
      <c r="AW187">
        <v>3</v>
      </c>
      <c r="AX187">
        <v>5</v>
      </c>
      <c r="AY187">
        <v>88</v>
      </c>
      <c r="AZ187">
        <v>1000</v>
      </c>
      <c r="BA187">
        <v>15000</v>
      </c>
      <c r="BD187">
        <v>11.32</v>
      </c>
      <c r="BE187">
        <v>9.800000000000001</v>
      </c>
      <c r="BF187">
        <v>4.37</v>
      </c>
      <c r="BG187">
        <v>0.49</v>
      </c>
      <c r="BH187">
        <v>1.27</v>
      </c>
      <c r="BI187">
        <v>-22.87</v>
      </c>
      <c r="BJ187">
        <v>-5.79</v>
      </c>
      <c r="BK187">
        <v>4.34</v>
      </c>
      <c r="BM187">
        <v>1.13</v>
      </c>
      <c r="BN187" t="s">
        <v>320</v>
      </c>
      <c r="BO187" t="b">
        <v>0</v>
      </c>
      <c r="BP187" s="1">
        <f>IFERROR(RANK.EQ(AX187,AX$2:AX$213,0),"")</f>
        <v>0</v>
      </c>
      <c r="BQ187">
        <f>IFERROR(Y187/Z187,"")</f>
        <v>0</v>
      </c>
      <c r="BR187">
        <f>IFERROR(U187-V187,"")</f>
        <v>0</v>
      </c>
      <c r="BS187">
        <f>IFERROR(U187&gt;V187,"")</f>
        <v>0</v>
      </c>
      <c r="BT187">
        <f>IF(AND(ISNUMBER(D187),ISNUMBER(H187),D187&gt;=H187), OR(O187=TRUE,P187=TRUE), FALSE)</f>
        <v>0</v>
      </c>
      <c r="BU187">
        <f>AND(ISNUMBER(R187), R187&gt;=45, R187&lt;=60, W187=TRUE, E187&gt;=-20)</f>
        <v>0</v>
      </c>
      <c r="BV187">
        <f>OR(AI187=TRUE,AA187=TRUE)</f>
        <v>0</v>
      </c>
      <c r="BW187">
        <f>IFERROR( (AR187-D187) / MAX(D187-AQ187,1E-9) ,"")</f>
        <v>0</v>
      </c>
      <c r="BX187">
        <f>IFERROR(BW187&gt;=2, FALSE)</f>
        <v>0</v>
      </c>
      <c r="BY187" s="1">
        <f>IFERROR(ROUNDDOWN(MIN(IF(BA187&gt;0, BA187/D187, 1E99),IF(AZ187&gt;0, AZ187/MAX(D187-AQ187,1E-9), 1E99)),0),"")</f>
        <v>0</v>
      </c>
      <c r="BZ187" s="2">
        <f>IF(AND(ISNUMBER(D187),ISNUMBER(AT187)), D187*(1-AT187), "")</f>
        <v>0</v>
      </c>
      <c r="CA187">
        <f>AND(BT187=TRUE,BU187=TRUE,BV187=TRUE,BX187=TRUE)</f>
        <v>0</v>
      </c>
    </row>
    <row r="188" spans="1:79" x14ac:dyDescent="0.25">
      <c r="A188" t="s">
        <v>253</v>
      </c>
      <c r="B188">
        <f>HYPERLINK("data/charts/CMCSA.png", "Open")</f>
        <v>0</v>
      </c>
      <c r="C188" t="s">
        <v>279</v>
      </c>
      <c r="D188">
        <v>33.45</v>
      </c>
      <c r="E188">
        <v>-26.18</v>
      </c>
      <c r="F188">
        <v>7.8</v>
      </c>
      <c r="G188">
        <v>-8.369999999999999</v>
      </c>
      <c r="H188">
        <v>36.5</v>
      </c>
      <c r="I188">
        <v>-0.08069999999999999</v>
      </c>
      <c r="J188" t="b">
        <v>0</v>
      </c>
      <c r="K188">
        <v>34.33</v>
      </c>
      <c r="L188">
        <v>33.15</v>
      </c>
      <c r="M188">
        <v>33.12</v>
      </c>
      <c r="N188">
        <v>33.91</v>
      </c>
      <c r="O188" t="b">
        <v>1</v>
      </c>
      <c r="P188" t="b">
        <v>0</v>
      </c>
      <c r="Q188" t="b">
        <v>1</v>
      </c>
      <c r="R188">
        <v>50.9</v>
      </c>
      <c r="S188" t="b">
        <v>0</v>
      </c>
      <c r="T188" t="b">
        <v>0</v>
      </c>
      <c r="U188">
        <v>-0.5661</v>
      </c>
      <c r="V188">
        <v>-0.6819</v>
      </c>
      <c r="W188" t="b">
        <v>1</v>
      </c>
      <c r="X188" t="b">
        <v>1</v>
      </c>
      <c r="Y188">
        <v>20702000</v>
      </c>
      <c r="Z188">
        <v>23587910</v>
      </c>
      <c r="AA188" t="b">
        <v>0</v>
      </c>
      <c r="AB188">
        <v>33.15</v>
      </c>
      <c r="AC188">
        <v>35.67</v>
      </c>
      <c r="AD188">
        <v>30.64</v>
      </c>
      <c r="AE188">
        <v>0.5590000000000001</v>
      </c>
      <c r="AF188">
        <v>0.152</v>
      </c>
      <c r="AG188">
        <v>36.02</v>
      </c>
      <c r="AH188">
        <v>31.03</v>
      </c>
      <c r="AI188" t="b">
        <v>0</v>
      </c>
      <c r="AJ188">
        <v>0.754</v>
      </c>
      <c r="AK188">
        <v>32.32</v>
      </c>
      <c r="AL188">
        <v>31.03</v>
      </c>
      <c r="AM188">
        <v>30.64</v>
      </c>
      <c r="AN188">
        <v>29.77</v>
      </c>
      <c r="AO188">
        <v>32.32</v>
      </c>
      <c r="AP188" t="s">
        <v>280</v>
      </c>
      <c r="AQ188">
        <v>29.77</v>
      </c>
      <c r="AR188">
        <v>36.8</v>
      </c>
      <c r="AS188">
        <v>0.05</v>
      </c>
      <c r="AT188">
        <v>0.07000000000000001</v>
      </c>
      <c r="AU188">
        <v>60</v>
      </c>
      <c r="AV188">
        <v>0.9103256909068367</v>
      </c>
      <c r="AW188">
        <v>3</v>
      </c>
      <c r="AX188">
        <v>5</v>
      </c>
      <c r="AY188">
        <v>271</v>
      </c>
      <c r="AZ188">
        <v>1000</v>
      </c>
      <c r="BA188">
        <v>15000</v>
      </c>
      <c r="BD188">
        <v>5.55</v>
      </c>
      <c r="BE188">
        <v>7.64</v>
      </c>
      <c r="BF188">
        <v>3.95</v>
      </c>
      <c r="BG188">
        <v>0.21</v>
      </c>
      <c r="BH188">
        <v>1.04</v>
      </c>
      <c r="BI188">
        <v>1.43</v>
      </c>
      <c r="BJ188">
        <v>229.57</v>
      </c>
      <c r="BK188">
        <v>36.69</v>
      </c>
      <c r="BM188">
        <v>0.03</v>
      </c>
      <c r="BN188" t="s">
        <v>290</v>
      </c>
      <c r="BO188" t="b">
        <v>0</v>
      </c>
      <c r="BP188" s="1">
        <f>IFERROR(RANK.EQ(AX188,AX$2:AX$213,0),"")</f>
        <v>0</v>
      </c>
      <c r="BQ188">
        <f>IFERROR(Y188/Z188,"")</f>
        <v>0</v>
      </c>
      <c r="BR188">
        <f>IFERROR(U188-V188,"")</f>
        <v>0</v>
      </c>
      <c r="BS188">
        <f>IFERROR(U188&gt;V188,"")</f>
        <v>0</v>
      </c>
      <c r="BT188">
        <f>IF(AND(ISNUMBER(D188),ISNUMBER(H188),D188&gt;=H188), OR(O188=TRUE,P188=TRUE), FALSE)</f>
        <v>0</v>
      </c>
      <c r="BU188">
        <f>AND(ISNUMBER(R188), R188&gt;=45, R188&lt;=60, W188=TRUE, E188&gt;=-20)</f>
        <v>0</v>
      </c>
      <c r="BV188">
        <f>OR(AI188=TRUE,AA188=TRUE)</f>
        <v>0</v>
      </c>
      <c r="BW188">
        <f>IFERROR( (AR188-D188) / MAX(D188-AQ188,1E-9) ,"")</f>
        <v>0</v>
      </c>
      <c r="BX188">
        <f>IFERROR(BW188&gt;=2, FALSE)</f>
        <v>0</v>
      </c>
      <c r="BY188" s="1">
        <f>IFERROR(ROUNDDOWN(MIN(IF(BA188&gt;0, BA188/D188, 1E99),IF(AZ188&gt;0, AZ188/MAX(D188-AQ188,1E-9), 1E99)),0),"")</f>
        <v>0</v>
      </c>
      <c r="BZ188" s="2">
        <f>IF(AND(ISNUMBER(D188),ISNUMBER(AT188)), D188*(1-AT188), "")</f>
        <v>0</v>
      </c>
      <c r="CA188">
        <f>AND(BT188=TRUE,BU188=TRUE,BV188=TRUE,BX188=TRUE)</f>
        <v>0</v>
      </c>
    </row>
    <row r="189" spans="1:79" x14ac:dyDescent="0.25">
      <c r="A189" t="s">
        <v>254</v>
      </c>
      <c r="B189">
        <f>HYPERLINK("data/charts/PSX.png", "Open")</f>
        <v>0</v>
      </c>
      <c r="C189" t="s">
        <v>279</v>
      </c>
      <c r="D189">
        <v>123.61</v>
      </c>
      <c r="E189">
        <v>-12.24</v>
      </c>
      <c r="F189">
        <v>35.82</v>
      </c>
      <c r="G189">
        <v>2.71</v>
      </c>
      <c r="H189">
        <v>120.35</v>
      </c>
      <c r="I189">
        <v>-0.0299</v>
      </c>
      <c r="J189" t="b">
        <v>0</v>
      </c>
      <c r="K189">
        <v>123.33</v>
      </c>
      <c r="L189">
        <v>123.11</v>
      </c>
      <c r="M189">
        <v>122.64</v>
      </c>
      <c r="N189">
        <v>122.1</v>
      </c>
      <c r="O189" t="b">
        <v>1</v>
      </c>
      <c r="P189" t="b">
        <v>1</v>
      </c>
      <c r="Q189" t="b">
        <v>1</v>
      </c>
      <c r="R189">
        <v>52.11</v>
      </c>
      <c r="S189" t="b">
        <v>0</v>
      </c>
      <c r="T189" t="b">
        <v>0</v>
      </c>
      <c r="U189">
        <v>-0.7431</v>
      </c>
      <c r="V189">
        <v>-0.714</v>
      </c>
      <c r="W189" t="b">
        <v>0</v>
      </c>
      <c r="X189" t="b">
        <v>1</v>
      </c>
      <c r="Y189">
        <v>2303000</v>
      </c>
      <c r="Z189">
        <v>2386905</v>
      </c>
      <c r="AA189" t="b">
        <v>0</v>
      </c>
      <c r="AB189">
        <v>123.11</v>
      </c>
      <c r="AC189">
        <v>129.21</v>
      </c>
      <c r="AD189">
        <v>117.01</v>
      </c>
      <c r="AE189">
        <v>0.541</v>
      </c>
      <c r="AF189">
        <v>0.099</v>
      </c>
      <c r="AG189">
        <v>128.52</v>
      </c>
      <c r="AH189">
        <v>118.07</v>
      </c>
      <c r="AI189" t="b">
        <v>0</v>
      </c>
      <c r="AJ189">
        <v>2.871</v>
      </c>
      <c r="AK189">
        <v>119.3</v>
      </c>
      <c r="AL189">
        <v>118.07</v>
      </c>
      <c r="AM189">
        <v>117.01</v>
      </c>
      <c r="AN189">
        <v>110.01</v>
      </c>
      <c r="AO189">
        <v>119.3</v>
      </c>
      <c r="AP189" t="s">
        <v>280</v>
      </c>
      <c r="AQ189">
        <v>110.01</v>
      </c>
      <c r="AR189">
        <v>135.97</v>
      </c>
      <c r="AS189">
        <v>0.05</v>
      </c>
      <c r="AT189">
        <v>0.07000000000000001</v>
      </c>
      <c r="AU189">
        <v>60</v>
      </c>
      <c r="AV189">
        <v>0.9088234437460759</v>
      </c>
      <c r="AW189">
        <v>3</v>
      </c>
      <c r="AX189">
        <v>5</v>
      </c>
      <c r="AY189">
        <v>73</v>
      </c>
      <c r="AZ189">
        <v>1000</v>
      </c>
      <c r="BA189">
        <v>15000</v>
      </c>
      <c r="BD189">
        <v>29.29</v>
      </c>
      <c r="BE189">
        <v>13.03</v>
      </c>
      <c r="BF189">
        <v>3.88</v>
      </c>
      <c r="BG189">
        <v>1.1</v>
      </c>
      <c r="BH189">
        <v>0.73</v>
      </c>
      <c r="BI189">
        <v>9.51</v>
      </c>
      <c r="BJ189">
        <v>80.67</v>
      </c>
      <c r="BK189">
        <v>2.63</v>
      </c>
      <c r="BM189">
        <v>-2.15</v>
      </c>
      <c r="BN189" t="s">
        <v>299</v>
      </c>
      <c r="BO189" t="b">
        <v>0</v>
      </c>
      <c r="BP189" s="1">
        <f>IFERROR(RANK.EQ(AX189,AX$2:AX$213,0),"")</f>
        <v>0</v>
      </c>
      <c r="BQ189">
        <f>IFERROR(Y189/Z189,"")</f>
        <v>0</v>
      </c>
      <c r="BR189">
        <f>IFERROR(U189-V189,"")</f>
        <v>0</v>
      </c>
      <c r="BS189">
        <f>IFERROR(U189&gt;V189,"")</f>
        <v>0</v>
      </c>
      <c r="BT189">
        <f>IF(AND(ISNUMBER(D189),ISNUMBER(H189),D189&gt;=H189), OR(O189=TRUE,P189=TRUE), FALSE)</f>
        <v>0</v>
      </c>
      <c r="BU189">
        <f>AND(ISNUMBER(R189), R189&gt;=45, R189&lt;=60, W189=TRUE, E189&gt;=-20)</f>
        <v>0</v>
      </c>
      <c r="BV189">
        <f>OR(AI189=TRUE,AA189=TRUE)</f>
        <v>0</v>
      </c>
      <c r="BW189">
        <f>IFERROR( (AR189-D189) / MAX(D189-AQ189,1E-9) ,"")</f>
        <v>0</v>
      </c>
      <c r="BX189">
        <f>IFERROR(BW189&gt;=2, FALSE)</f>
        <v>0</v>
      </c>
      <c r="BY189" s="1">
        <f>IFERROR(ROUNDDOWN(MIN(IF(BA189&gt;0, BA189/D189, 1E99),IF(AZ189&gt;0, AZ189/MAX(D189-AQ189,1E-9), 1E99)),0),"")</f>
        <v>0</v>
      </c>
      <c r="BZ189" s="2">
        <f>IF(AND(ISNUMBER(D189),ISNUMBER(AT189)), D189*(1-AT189), "")</f>
        <v>0</v>
      </c>
      <c r="CA189">
        <f>AND(BT189=TRUE,BU189=TRUE,BV189=TRUE,BX189=TRUE)</f>
        <v>0</v>
      </c>
    </row>
    <row r="190" spans="1:79" x14ac:dyDescent="0.25">
      <c r="A190" t="s">
        <v>255</v>
      </c>
      <c r="B190">
        <f>HYPERLINK("data/charts/ACO-X_TO.png", "Open")</f>
        <v>0</v>
      </c>
      <c r="C190" t="s">
        <v>279</v>
      </c>
      <c r="D190">
        <v>51.01</v>
      </c>
      <c r="E190">
        <v>-2.8</v>
      </c>
      <c r="F190">
        <v>15.46</v>
      </c>
      <c r="G190">
        <v>3.71</v>
      </c>
      <c r="H190">
        <v>49.19</v>
      </c>
      <c r="I190">
        <v>0.0402</v>
      </c>
      <c r="J190" t="b">
        <v>1</v>
      </c>
      <c r="K190">
        <v>50.83</v>
      </c>
      <c r="L190">
        <v>50.92</v>
      </c>
      <c r="M190">
        <v>50.79</v>
      </c>
      <c r="N190">
        <v>50.76</v>
      </c>
      <c r="O190" t="b">
        <v>1</v>
      </c>
      <c r="P190" t="b">
        <v>1</v>
      </c>
      <c r="Q190" t="b">
        <v>1</v>
      </c>
      <c r="R190">
        <v>52.22</v>
      </c>
      <c r="S190" t="b">
        <v>0</v>
      </c>
      <c r="T190" t="b">
        <v>0</v>
      </c>
      <c r="U190">
        <v>-0.0267</v>
      </c>
      <c r="V190">
        <v>-0.0235</v>
      </c>
      <c r="W190" t="b">
        <v>0</v>
      </c>
      <c r="X190" t="b">
        <v>0</v>
      </c>
      <c r="Y190">
        <v>204800</v>
      </c>
      <c r="Z190">
        <v>211880</v>
      </c>
      <c r="AA190" t="b">
        <v>0</v>
      </c>
      <c r="AB190">
        <v>50.92</v>
      </c>
      <c r="AC190">
        <v>51.94</v>
      </c>
      <c r="AD190">
        <v>49.9</v>
      </c>
      <c r="AE190">
        <v>0.543</v>
      </c>
      <c r="AF190">
        <v>0.04</v>
      </c>
      <c r="AG190">
        <v>52.27</v>
      </c>
      <c r="AH190">
        <v>49.7</v>
      </c>
      <c r="AI190" t="b">
        <v>0</v>
      </c>
      <c r="AJ190">
        <v>0.789</v>
      </c>
      <c r="AK190">
        <v>49.83</v>
      </c>
      <c r="AL190">
        <v>49.7</v>
      </c>
      <c r="AM190">
        <v>49.9</v>
      </c>
      <c r="AN190">
        <v>45.4</v>
      </c>
      <c r="AO190">
        <v>49.9</v>
      </c>
      <c r="AP190" t="s">
        <v>281</v>
      </c>
      <c r="AQ190">
        <v>45.4</v>
      </c>
      <c r="AR190">
        <v>56.11</v>
      </c>
      <c r="AS190">
        <v>0.05</v>
      </c>
      <c r="AT190">
        <v>0.07000000000000001</v>
      </c>
      <c r="AU190">
        <v>60</v>
      </c>
      <c r="AV190">
        <v>0.909091480275697</v>
      </c>
      <c r="AW190">
        <v>3</v>
      </c>
      <c r="AX190">
        <v>5</v>
      </c>
      <c r="AY190">
        <v>178</v>
      </c>
      <c r="AZ190">
        <v>1000</v>
      </c>
      <c r="BA190">
        <v>15000</v>
      </c>
      <c r="BD190">
        <v>13.05</v>
      </c>
      <c r="BE190">
        <v>12.35</v>
      </c>
      <c r="BF190">
        <v>3.96</v>
      </c>
      <c r="BG190">
        <v>0.51</v>
      </c>
      <c r="BH190">
        <v>1.38</v>
      </c>
      <c r="BI190">
        <v>-17.93</v>
      </c>
      <c r="BJ190">
        <v>-55.56</v>
      </c>
      <c r="BK190">
        <v>5.53</v>
      </c>
      <c r="BM190">
        <v>0.5600000000000001</v>
      </c>
      <c r="BN190" t="s">
        <v>320</v>
      </c>
      <c r="BO190" t="b">
        <v>0</v>
      </c>
      <c r="BP190" s="1">
        <f>IFERROR(RANK.EQ(AX190,AX$2:AX$213,0),"")</f>
        <v>0</v>
      </c>
      <c r="BQ190">
        <f>IFERROR(Y190/Z190,"")</f>
        <v>0</v>
      </c>
      <c r="BR190">
        <f>IFERROR(U190-V190,"")</f>
        <v>0</v>
      </c>
      <c r="BS190">
        <f>IFERROR(U190&gt;V190,"")</f>
        <v>0</v>
      </c>
      <c r="BT190">
        <f>IF(AND(ISNUMBER(D190),ISNUMBER(H190),D190&gt;=H190), OR(O190=TRUE,P190=TRUE), FALSE)</f>
        <v>0</v>
      </c>
      <c r="BU190">
        <f>AND(ISNUMBER(R190), R190&gt;=45, R190&lt;=60, W190=TRUE, E190&gt;=-20)</f>
        <v>0</v>
      </c>
      <c r="BV190">
        <f>OR(AI190=TRUE,AA190=TRUE)</f>
        <v>0</v>
      </c>
      <c r="BW190">
        <f>IFERROR( (AR190-D190) / MAX(D190-AQ190,1E-9) ,"")</f>
        <v>0</v>
      </c>
      <c r="BX190">
        <f>IFERROR(BW190&gt;=2, FALSE)</f>
        <v>0</v>
      </c>
      <c r="BY190" s="1">
        <f>IFERROR(ROUNDDOWN(MIN(IF(BA190&gt;0, BA190/D190, 1E99),IF(AZ190&gt;0, AZ190/MAX(D190-AQ190,1E-9), 1E99)),0),"")</f>
        <v>0</v>
      </c>
      <c r="BZ190" s="2">
        <f>IF(AND(ISNUMBER(D190),ISNUMBER(AT190)), D190*(1-AT190), "")</f>
        <v>0</v>
      </c>
      <c r="CA190">
        <f>AND(BT190=TRUE,BU190=TRUE,BV190=TRUE,BX190=TRUE)</f>
        <v>0</v>
      </c>
    </row>
    <row r="191" spans="1:79" x14ac:dyDescent="0.25">
      <c r="A191" t="s">
        <v>256</v>
      </c>
      <c r="B191">
        <f>HYPERLINK("data/charts/AWK.png", "Open")</f>
        <v>0</v>
      </c>
      <c r="C191" t="s">
        <v>279</v>
      </c>
      <c r="D191">
        <v>143.92</v>
      </c>
      <c r="E191">
        <v>-7.45</v>
      </c>
      <c r="F191">
        <v>21.21</v>
      </c>
      <c r="G191">
        <v>4.86</v>
      </c>
      <c r="H191">
        <v>137.25</v>
      </c>
      <c r="I191">
        <v>-0.008800000000000001</v>
      </c>
      <c r="J191" t="b">
        <v>0</v>
      </c>
      <c r="K191">
        <v>141.72</v>
      </c>
      <c r="L191">
        <v>142.73</v>
      </c>
      <c r="M191">
        <v>142.95</v>
      </c>
      <c r="N191">
        <v>142.31</v>
      </c>
      <c r="O191" t="b">
        <v>1</v>
      </c>
      <c r="P191" t="b">
        <v>1</v>
      </c>
      <c r="Q191" t="b">
        <v>1</v>
      </c>
      <c r="R191">
        <v>52.92</v>
      </c>
      <c r="S191" t="b">
        <v>0</v>
      </c>
      <c r="T191" t="b">
        <v>0</v>
      </c>
      <c r="U191">
        <v>0.621</v>
      </c>
      <c r="V191">
        <v>0.552</v>
      </c>
      <c r="W191" t="b">
        <v>0</v>
      </c>
      <c r="X191" t="b">
        <v>0</v>
      </c>
      <c r="Y191">
        <v>923800</v>
      </c>
      <c r="Z191">
        <v>1623690</v>
      </c>
      <c r="AA191" t="b">
        <v>0</v>
      </c>
      <c r="AB191">
        <v>142.73</v>
      </c>
      <c r="AC191">
        <v>147.24</v>
      </c>
      <c r="AD191">
        <v>138.22</v>
      </c>
      <c r="AE191">
        <v>0.632</v>
      </c>
      <c r="AF191">
        <v>0.063</v>
      </c>
      <c r="AG191">
        <v>147.65</v>
      </c>
      <c r="AH191">
        <v>137.5</v>
      </c>
      <c r="AI191" t="b">
        <v>0</v>
      </c>
      <c r="AJ191">
        <v>2.599</v>
      </c>
      <c r="AK191">
        <v>140.02</v>
      </c>
      <c r="AL191">
        <v>140.68</v>
      </c>
      <c r="AM191">
        <v>138.22</v>
      </c>
      <c r="AN191">
        <v>128.09</v>
      </c>
      <c r="AO191">
        <v>140.68</v>
      </c>
      <c r="AP191" t="s">
        <v>282</v>
      </c>
      <c r="AQ191">
        <v>128.09</v>
      </c>
      <c r="AR191">
        <v>158.31</v>
      </c>
      <c r="AS191">
        <v>0.05</v>
      </c>
      <c r="AT191">
        <v>0.07000000000000001</v>
      </c>
      <c r="AU191">
        <v>60</v>
      </c>
      <c r="AV191">
        <v>0.9090337015505441</v>
      </c>
      <c r="AW191">
        <v>3</v>
      </c>
      <c r="AX191">
        <v>5</v>
      </c>
      <c r="AY191">
        <v>63</v>
      </c>
      <c r="AZ191">
        <v>1000</v>
      </c>
      <c r="BA191">
        <v>15000</v>
      </c>
      <c r="BD191">
        <v>25.88</v>
      </c>
      <c r="BE191">
        <v>25.25</v>
      </c>
      <c r="BF191">
        <v>2.3</v>
      </c>
      <c r="BG191">
        <v>0.5600000000000001</v>
      </c>
      <c r="BH191">
        <v>1.41</v>
      </c>
      <c r="BI191">
        <v>11.73</v>
      </c>
      <c r="BJ191">
        <v>40.95</v>
      </c>
      <c r="BK191">
        <v>22.65</v>
      </c>
      <c r="BM191">
        <v>6.02</v>
      </c>
      <c r="BN191" t="s">
        <v>285</v>
      </c>
      <c r="BO191" t="b">
        <v>0</v>
      </c>
      <c r="BP191" s="1">
        <f>IFERROR(RANK.EQ(AX191,AX$2:AX$213,0),"")</f>
        <v>0</v>
      </c>
      <c r="BQ191">
        <f>IFERROR(Y191/Z191,"")</f>
        <v>0</v>
      </c>
      <c r="BR191">
        <f>IFERROR(U191-V191,"")</f>
        <v>0</v>
      </c>
      <c r="BS191">
        <f>IFERROR(U191&gt;V191,"")</f>
        <v>0</v>
      </c>
      <c r="BT191">
        <f>IF(AND(ISNUMBER(D191),ISNUMBER(H191),D191&gt;=H191), OR(O191=TRUE,P191=TRUE), FALSE)</f>
        <v>0</v>
      </c>
      <c r="BU191">
        <f>AND(ISNUMBER(R191), R191&gt;=45, R191&lt;=60, W191=TRUE, E191&gt;=-20)</f>
        <v>0</v>
      </c>
      <c r="BV191">
        <f>OR(AI191=TRUE,AA191=TRUE)</f>
        <v>0</v>
      </c>
      <c r="BW191">
        <f>IFERROR( (AR191-D191) / MAX(D191-AQ191,1E-9) ,"")</f>
        <v>0</v>
      </c>
      <c r="BX191">
        <f>IFERROR(BW191&gt;=2, FALSE)</f>
        <v>0</v>
      </c>
      <c r="BY191" s="1">
        <f>IFERROR(ROUNDDOWN(MIN(IF(BA191&gt;0, BA191/D191, 1E99),IF(AZ191&gt;0, AZ191/MAX(D191-AQ191,1E-9), 1E99)),0),"")</f>
        <v>0</v>
      </c>
      <c r="BZ191" s="2">
        <f>IF(AND(ISNUMBER(D191),ISNUMBER(AT191)), D191*(1-AT191), "")</f>
        <v>0</v>
      </c>
      <c r="CA191">
        <f>AND(BT191=TRUE,BU191=TRUE,BV191=TRUE,BX191=TRUE)</f>
        <v>0</v>
      </c>
    </row>
    <row r="192" spans="1:79" x14ac:dyDescent="0.25">
      <c r="A192" t="s">
        <v>257</v>
      </c>
      <c r="B192">
        <f>HYPERLINK("data/charts/ABT.png", "Open")</f>
        <v>0</v>
      </c>
      <c r="C192" t="s">
        <v>279</v>
      </c>
      <c r="D192">
        <v>131.75</v>
      </c>
      <c r="E192">
        <v>-6.71</v>
      </c>
      <c r="F192">
        <v>22.32</v>
      </c>
      <c r="G192">
        <v>4.17</v>
      </c>
      <c r="H192">
        <v>126.48</v>
      </c>
      <c r="I192">
        <v>0.0643</v>
      </c>
      <c r="J192" t="b">
        <v>1</v>
      </c>
      <c r="K192">
        <v>131.45</v>
      </c>
      <c r="L192">
        <v>128.76</v>
      </c>
      <c r="M192">
        <v>130.05</v>
      </c>
      <c r="N192">
        <v>130.55</v>
      </c>
      <c r="O192" t="b">
        <v>1</v>
      </c>
      <c r="P192" t="b">
        <v>1</v>
      </c>
      <c r="Q192" t="b">
        <v>1</v>
      </c>
      <c r="R192">
        <v>54.47</v>
      </c>
      <c r="S192" t="b">
        <v>0</v>
      </c>
      <c r="T192" t="b">
        <v>0</v>
      </c>
      <c r="U192">
        <v>0.1861</v>
      </c>
      <c r="V192">
        <v>-0.207</v>
      </c>
      <c r="W192" t="b">
        <v>0</v>
      </c>
      <c r="X192" t="b">
        <v>1</v>
      </c>
      <c r="Y192">
        <v>6784500</v>
      </c>
      <c r="Z192">
        <v>6334290</v>
      </c>
      <c r="AA192" t="b">
        <v>0</v>
      </c>
      <c r="AB192">
        <v>128.76</v>
      </c>
      <c r="AC192">
        <v>134.04</v>
      </c>
      <c r="AD192">
        <v>123.49</v>
      </c>
      <c r="AE192">
        <v>0.783</v>
      </c>
      <c r="AF192">
        <v>0.082</v>
      </c>
      <c r="AG192">
        <v>134.71</v>
      </c>
      <c r="AH192">
        <v>121.6</v>
      </c>
      <c r="AI192" t="b">
        <v>0</v>
      </c>
      <c r="AJ192">
        <v>2.58</v>
      </c>
      <c r="AK192">
        <v>127.88</v>
      </c>
      <c r="AL192">
        <v>128.33</v>
      </c>
      <c r="AM192">
        <v>123.49</v>
      </c>
      <c r="AN192">
        <v>117.26</v>
      </c>
      <c r="AO192">
        <v>128.33</v>
      </c>
      <c r="AP192" t="s">
        <v>282</v>
      </c>
      <c r="AQ192">
        <v>117.26</v>
      </c>
      <c r="AR192">
        <v>144.93</v>
      </c>
      <c r="AS192">
        <v>0.05</v>
      </c>
      <c r="AT192">
        <v>0.07000000000000001</v>
      </c>
      <c r="AU192">
        <v>60</v>
      </c>
      <c r="AV192">
        <v>0.9095928226363017</v>
      </c>
      <c r="AW192">
        <v>3</v>
      </c>
      <c r="AX192">
        <v>5</v>
      </c>
      <c r="AY192">
        <v>69</v>
      </c>
      <c r="AZ192">
        <v>1000</v>
      </c>
      <c r="BA192">
        <v>15000</v>
      </c>
      <c r="BD192">
        <v>16.53</v>
      </c>
      <c r="BE192">
        <v>25.53</v>
      </c>
      <c r="BF192">
        <v>1.79</v>
      </c>
      <c r="BG192">
        <v>0.29</v>
      </c>
      <c r="BH192">
        <v>0.26</v>
      </c>
      <c r="BI192">
        <v>7.57</v>
      </c>
      <c r="BJ192">
        <v>34.49</v>
      </c>
      <c r="BK192">
        <v>15.97</v>
      </c>
      <c r="BM192">
        <v>0.45</v>
      </c>
      <c r="BN192" t="s">
        <v>285</v>
      </c>
      <c r="BO192" t="b">
        <v>0</v>
      </c>
      <c r="BP192" s="1">
        <f>IFERROR(RANK.EQ(AX192,AX$2:AX$213,0),"")</f>
        <v>0</v>
      </c>
      <c r="BQ192">
        <f>IFERROR(Y192/Z192,"")</f>
        <v>0</v>
      </c>
      <c r="BR192">
        <f>IFERROR(U192-V192,"")</f>
        <v>0</v>
      </c>
      <c r="BS192">
        <f>IFERROR(U192&gt;V192,"")</f>
        <v>0</v>
      </c>
      <c r="BT192">
        <f>IF(AND(ISNUMBER(D192),ISNUMBER(H192),D192&gt;=H192), OR(O192=TRUE,P192=TRUE), FALSE)</f>
        <v>0</v>
      </c>
      <c r="BU192">
        <f>AND(ISNUMBER(R192), R192&gt;=45, R192&lt;=60, W192=TRUE, E192&gt;=-20)</f>
        <v>0</v>
      </c>
      <c r="BV192">
        <f>OR(AI192=TRUE,AA192=TRUE)</f>
        <v>0</v>
      </c>
      <c r="BW192">
        <f>IFERROR( (AR192-D192) / MAX(D192-AQ192,1E-9) ,"")</f>
        <v>0</v>
      </c>
      <c r="BX192">
        <f>IFERROR(BW192&gt;=2, FALSE)</f>
        <v>0</v>
      </c>
      <c r="BY192" s="1">
        <f>IFERROR(ROUNDDOWN(MIN(IF(BA192&gt;0, BA192/D192, 1E99),IF(AZ192&gt;0, AZ192/MAX(D192-AQ192,1E-9), 1E99)),0),"")</f>
        <v>0</v>
      </c>
      <c r="BZ192" s="2">
        <f>IF(AND(ISNUMBER(D192),ISNUMBER(AT192)), D192*(1-AT192), "")</f>
        <v>0</v>
      </c>
      <c r="CA192">
        <f>AND(BT192=TRUE,BU192=TRUE,BV192=TRUE,BX192=TRUE)</f>
        <v>0</v>
      </c>
    </row>
    <row r="193" spans="1:79" x14ac:dyDescent="0.25">
      <c r="A193" t="s">
        <v>258</v>
      </c>
      <c r="B193">
        <f>HYPERLINK("data/charts/ONEX_TO.png", "Open")</f>
        <v>0</v>
      </c>
      <c r="C193" t="s">
        <v>279</v>
      </c>
      <c r="D193">
        <v>113.84</v>
      </c>
      <c r="E193">
        <v>-4.26</v>
      </c>
      <c r="F193">
        <v>31.39</v>
      </c>
      <c r="G193">
        <v>6.34</v>
      </c>
      <c r="H193">
        <v>107.05</v>
      </c>
      <c r="I193">
        <v>0.0818</v>
      </c>
      <c r="J193" t="b">
        <v>1</v>
      </c>
      <c r="K193">
        <v>111.18</v>
      </c>
      <c r="L193">
        <v>113.06</v>
      </c>
      <c r="M193">
        <v>112.84</v>
      </c>
      <c r="N193">
        <v>110.71</v>
      </c>
      <c r="O193" t="b">
        <v>1</v>
      </c>
      <c r="P193" t="b">
        <v>1</v>
      </c>
      <c r="Q193" t="b">
        <v>1</v>
      </c>
      <c r="R193">
        <v>55.41</v>
      </c>
      <c r="S193" t="b">
        <v>0</v>
      </c>
      <c r="T193" t="b">
        <v>0</v>
      </c>
      <c r="U193">
        <v>0.6313</v>
      </c>
      <c r="V193">
        <v>0.6634</v>
      </c>
      <c r="W193" t="b">
        <v>0</v>
      </c>
      <c r="X193" t="b">
        <v>0</v>
      </c>
      <c r="Y193">
        <v>45600</v>
      </c>
      <c r="Z193">
        <v>69855</v>
      </c>
      <c r="AA193" t="b">
        <v>0</v>
      </c>
      <c r="AB193">
        <v>113.06</v>
      </c>
      <c r="AC193">
        <v>115.17</v>
      </c>
      <c r="AD193">
        <v>110.94</v>
      </c>
      <c r="AE193">
        <v>0.6850000000000001</v>
      </c>
      <c r="AF193">
        <v>0.037</v>
      </c>
      <c r="AG193">
        <v>116.03</v>
      </c>
      <c r="AH193">
        <v>110.07</v>
      </c>
      <c r="AI193" t="b">
        <v>0</v>
      </c>
      <c r="AJ193">
        <v>1.975</v>
      </c>
      <c r="AK193">
        <v>110.88</v>
      </c>
      <c r="AL193">
        <v>111.06</v>
      </c>
      <c r="AM193">
        <v>110.94</v>
      </c>
      <c r="AN193">
        <v>101.32</v>
      </c>
      <c r="AO193">
        <v>111.06</v>
      </c>
      <c r="AP193" t="s">
        <v>282</v>
      </c>
      <c r="AQ193">
        <v>101.32</v>
      </c>
      <c r="AR193">
        <v>125.22</v>
      </c>
      <c r="AS193">
        <v>0.05</v>
      </c>
      <c r="AT193">
        <v>0.07000000000000001</v>
      </c>
      <c r="AU193">
        <v>60</v>
      </c>
      <c r="AV193">
        <v>0.908946245269164</v>
      </c>
      <c r="AW193">
        <v>3</v>
      </c>
      <c r="AX193">
        <v>5</v>
      </c>
      <c r="AY193">
        <v>79</v>
      </c>
      <c r="AZ193">
        <v>1000</v>
      </c>
      <c r="BA193">
        <v>15000</v>
      </c>
      <c r="BD193">
        <v>13.28</v>
      </c>
      <c r="BE193">
        <v>5.69</v>
      </c>
      <c r="BF193">
        <v>35</v>
      </c>
      <c r="BG193">
        <v>0.05</v>
      </c>
      <c r="BH193">
        <v>0.55</v>
      </c>
      <c r="BI193">
        <v>95.37</v>
      </c>
      <c r="BJ193">
        <v>-8500</v>
      </c>
      <c r="BK193">
        <v>79.62</v>
      </c>
      <c r="BM193">
        <v>0.37</v>
      </c>
      <c r="BN193" t="s">
        <v>311</v>
      </c>
      <c r="BO193" t="b">
        <v>0</v>
      </c>
      <c r="BP193" s="1">
        <f>IFERROR(RANK.EQ(AX193,AX$2:AX$213,0),"")</f>
        <v>0</v>
      </c>
      <c r="BQ193">
        <f>IFERROR(Y193/Z193,"")</f>
        <v>0</v>
      </c>
      <c r="BR193">
        <f>IFERROR(U193-V193,"")</f>
        <v>0</v>
      </c>
      <c r="BS193">
        <f>IFERROR(U193&gt;V193,"")</f>
        <v>0</v>
      </c>
      <c r="BT193">
        <f>IF(AND(ISNUMBER(D193),ISNUMBER(H193),D193&gt;=H193), OR(O193=TRUE,P193=TRUE), FALSE)</f>
        <v>0</v>
      </c>
      <c r="BU193">
        <f>AND(ISNUMBER(R193), R193&gt;=45, R193&lt;=60, W193=TRUE, E193&gt;=-20)</f>
        <v>0</v>
      </c>
      <c r="BV193">
        <f>OR(AI193=TRUE,AA193=TRUE)</f>
        <v>0</v>
      </c>
      <c r="BW193">
        <f>IFERROR( (AR193-D193) / MAX(D193-AQ193,1E-9) ,"")</f>
        <v>0</v>
      </c>
      <c r="BX193">
        <f>IFERROR(BW193&gt;=2, FALSE)</f>
        <v>0</v>
      </c>
      <c r="BY193" s="1">
        <f>IFERROR(ROUNDDOWN(MIN(IF(BA193&gt;0, BA193/D193, 1E99),IF(AZ193&gt;0, AZ193/MAX(D193-AQ193,1E-9), 1E99)),0),"")</f>
        <v>0</v>
      </c>
      <c r="BZ193" s="2">
        <f>IF(AND(ISNUMBER(D193),ISNUMBER(AT193)), D193*(1-AT193), "")</f>
        <v>0</v>
      </c>
      <c r="CA193">
        <f>AND(BT193=TRUE,BU193=TRUE,BV193=TRUE,BX193=TRUE)</f>
        <v>0</v>
      </c>
    </row>
    <row r="194" spans="1:79" x14ac:dyDescent="0.25">
      <c r="A194" t="s">
        <v>259</v>
      </c>
      <c r="B194">
        <f>HYPERLINK("data/charts/ACGL.png", "Open")</f>
        <v>0</v>
      </c>
      <c r="C194" t="s">
        <v>279</v>
      </c>
      <c r="D194">
        <v>90.72</v>
      </c>
      <c r="E194">
        <v>-22.11</v>
      </c>
      <c r="F194">
        <v>9.98</v>
      </c>
      <c r="G194">
        <v>-2.2</v>
      </c>
      <c r="H194">
        <v>92.76000000000001</v>
      </c>
      <c r="I194">
        <v>-0.1223</v>
      </c>
      <c r="J194" t="b">
        <v>0</v>
      </c>
      <c r="K194">
        <v>89.52</v>
      </c>
      <c r="L194">
        <v>88.44</v>
      </c>
      <c r="M194">
        <v>89.06999999999999</v>
      </c>
      <c r="N194">
        <v>89.64</v>
      </c>
      <c r="O194" t="b">
        <v>1</v>
      </c>
      <c r="P194" t="b">
        <v>1</v>
      </c>
      <c r="Q194" t="b">
        <v>1</v>
      </c>
      <c r="R194">
        <v>55.78</v>
      </c>
      <c r="S194" t="b">
        <v>0</v>
      </c>
      <c r="T194" t="b">
        <v>0</v>
      </c>
      <c r="U194">
        <v>0.2586</v>
      </c>
      <c r="V194">
        <v>-0.1877</v>
      </c>
      <c r="W194" t="b">
        <v>0</v>
      </c>
      <c r="X194" t="b">
        <v>1</v>
      </c>
      <c r="Y194">
        <v>3051800</v>
      </c>
      <c r="Z194">
        <v>2468675</v>
      </c>
      <c r="AA194" t="b">
        <v>0</v>
      </c>
      <c r="AB194">
        <v>88.44</v>
      </c>
      <c r="AC194">
        <v>91.45999999999999</v>
      </c>
      <c r="AD194">
        <v>85.41</v>
      </c>
      <c r="AE194">
        <v>0.877</v>
      </c>
      <c r="AF194">
        <v>0.068</v>
      </c>
      <c r="AG194">
        <v>92</v>
      </c>
      <c r="AH194">
        <v>84.81</v>
      </c>
      <c r="AI194" t="b">
        <v>0</v>
      </c>
      <c r="AJ194">
        <v>1.943</v>
      </c>
      <c r="AK194">
        <v>87.81</v>
      </c>
      <c r="AL194">
        <v>87.77</v>
      </c>
      <c r="AM194">
        <v>85.41</v>
      </c>
      <c r="AN194">
        <v>80.73999999999999</v>
      </c>
      <c r="AO194">
        <v>87.81</v>
      </c>
      <c r="AP194" t="s">
        <v>280</v>
      </c>
      <c r="AQ194">
        <v>80.73999999999999</v>
      </c>
      <c r="AR194">
        <v>99.79000000000001</v>
      </c>
      <c r="AS194">
        <v>0.05</v>
      </c>
      <c r="AT194">
        <v>0.07000000000000001</v>
      </c>
      <c r="AU194">
        <v>60</v>
      </c>
      <c r="AV194">
        <v>0.9088174017936507</v>
      </c>
      <c r="AW194">
        <v>3</v>
      </c>
      <c r="AX194">
        <v>5</v>
      </c>
      <c r="AY194">
        <v>100</v>
      </c>
      <c r="AZ194">
        <v>1000</v>
      </c>
      <c r="BA194">
        <v>15000</v>
      </c>
      <c r="BD194">
        <v>9.380000000000001</v>
      </c>
      <c r="BE194">
        <v>10.04</v>
      </c>
      <c r="BG194">
        <v>0</v>
      </c>
      <c r="BH194">
        <v>0.12</v>
      </c>
      <c r="BI194">
        <v>8.300000000000001</v>
      </c>
      <c r="BJ194">
        <v>118.54</v>
      </c>
      <c r="BK194">
        <v>24.87</v>
      </c>
      <c r="BM194">
        <v>-3.75</v>
      </c>
      <c r="BN194" t="s">
        <v>285</v>
      </c>
      <c r="BO194" t="b">
        <v>0</v>
      </c>
      <c r="BP194" s="1">
        <f>IFERROR(RANK.EQ(AX194,AX$2:AX$213,0),"")</f>
        <v>0</v>
      </c>
      <c r="BQ194">
        <f>IFERROR(Y194/Z194,"")</f>
        <v>0</v>
      </c>
      <c r="BR194">
        <f>IFERROR(U194-V194,"")</f>
        <v>0</v>
      </c>
      <c r="BS194">
        <f>IFERROR(U194&gt;V194,"")</f>
        <v>0</v>
      </c>
      <c r="BT194">
        <f>IF(AND(ISNUMBER(D194),ISNUMBER(H194),D194&gt;=H194), OR(O194=TRUE,P194=TRUE), FALSE)</f>
        <v>0</v>
      </c>
      <c r="BU194">
        <f>AND(ISNUMBER(R194), R194&gt;=45, R194&lt;=60, W194=TRUE, E194&gt;=-20)</f>
        <v>0</v>
      </c>
      <c r="BV194">
        <f>OR(AI194=TRUE,AA194=TRUE)</f>
        <v>0</v>
      </c>
      <c r="BW194">
        <f>IFERROR( (AR194-D194) / MAX(D194-AQ194,1E-9) ,"")</f>
        <v>0</v>
      </c>
      <c r="BX194">
        <f>IFERROR(BW194&gt;=2, FALSE)</f>
        <v>0</v>
      </c>
      <c r="BY194" s="1">
        <f>IFERROR(ROUNDDOWN(MIN(IF(BA194&gt;0, BA194/D194, 1E99),IF(AZ194&gt;0, AZ194/MAX(D194-AQ194,1E-9), 1E99)),0),"")</f>
        <v>0</v>
      </c>
      <c r="BZ194" s="2">
        <f>IF(AND(ISNUMBER(D194),ISNUMBER(AT194)), D194*(1-AT194), "")</f>
        <v>0</v>
      </c>
      <c r="CA194">
        <f>AND(BT194=TRUE,BU194=TRUE,BV194=TRUE,BX194=TRUE)</f>
        <v>0</v>
      </c>
    </row>
    <row r="195" spans="1:79" x14ac:dyDescent="0.25">
      <c r="A195" t="s">
        <v>260</v>
      </c>
      <c r="B195">
        <f>HYPERLINK("data/charts/BG.png", "Open")</f>
        <v>0</v>
      </c>
      <c r="C195" t="s">
        <v>279</v>
      </c>
      <c r="D195">
        <v>81.78</v>
      </c>
      <c r="E195">
        <v>-19.67</v>
      </c>
      <c r="F195">
        <v>21.34</v>
      </c>
      <c r="G195">
        <v>3.66</v>
      </c>
      <c r="H195">
        <v>78.89</v>
      </c>
      <c r="I195">
        <v>-0.1183</v>
      </c>
      <c r="J195" t="b">
        <v>0</v>
      </c>
      <c r="K195">
        <v>79.06</v>
      </c>
      <c r="L195">
        <v>79.73999999999999</v>
      </c>
      <c r="M195">
        <v>80.37</v>
      </c>
      <c r="N195">
        <v>79.23999999999999</v>
      </c>
      <c r="O195" t="b">
        <v>1</v>
      </c>
      <c r="P195" t="b">
        <v>1</v>
      </c>
      <c r="Q195" t="b">
        <v>1</v>
      </c>
      <c r="R195">
        <v>56.31</v>
      </c>
      <c r="S195" t="b">
        <v>0</v>
      </c>
      <c r="T195" t="b">
        <v>0</v>
      </c>
      <c r="U195">
        <v>1.3257</v>
      </c>
      <c r="V195">
        <v>1.0265</v>
      </c>
      <c r="W195" t="b">
        <v>0</v>
      </c>
      <c r="X195" t="b">
        <v>1</v>
      </c>
      <c r="Y195">
        <v>1131000</v>
      </c>
      <c r="Z195">
        <v>1950395</v>
      </c>
      <c r="AA195" t="b">
        <v>0</v>
      </c>
      <c r="AB195">
        <v>79.73999999999999</v>
      </c>
      <c r="AC195">
        <v>85.26000000000001</v>
      </c>
      <c r="AD195">
        <v>74.23</v>
      </c>
      <c r="AE195">
        <v>0.6850000000000001</v>
      </c>
      <c r="AF195">
        <v>0.138</v>
      </c>
      <c r="AG195">
        <v>85.31</v>
      </c>
      <c r="AH195">
        <v>74.14</v>
      </c>
      <c r="AI195" t="b">
        <v>0</v>
      </c>
      <c r="AJ195">
        <v>2.466</v>
      </c>
      <c r="AK195">
        <v>78.08</v>
      </c>
      <c r="AL195">
        <v>80.33</v>
      </c>
      <c r="AM195">
        <v>74.23</v>
      </c>
      <c r="AN195">
        <v>72.78</v>
      </c>
      <c r="AO195">
        <v>80.33</v>
      </c>
      <c r="AP195" t="s">
        <v>282</v>
      </c>
      <c r="AQ195">
        <v>72.78</v>
      </c>
      <c r="AR195">
        <v>89.95999999999999</v>
      </c>
      <c r="AS195">
        <v>0.05</v>
      </c>
      <c r="AT195">
        <v>0.07000000000000001</v>
      </c>
      <c r="AU195">
        <v>60</v>
      </c>
      <c r="AV195">
        <v>0.9088891477985492</v>
      </c>
      <c r="AW195">
        <v>3</v>
      </c>
      <c r="AX195">
        <v>5</v>
      </c>
      <c r="AY195">
        <v>111</v>
      </c>
      <c r="AZ195">
        <v>1000</v>
      </c>
      <c r="BA195">
        <v>15000</v>
      </c>
      <c r="BD195">
        <v>8.24</v>
      </c>
      <c r="BE195">
        <v>8.789999999999999</v>
      </c>
      <c r="BF195">
        <v>3.42</v>
      </c>
      <c r="BG195">
        <v>0.28</v>
      </c>
      <c r="BH195">
        <v>1.02</v>
      </c>
      <c r="BI195">
        <v>9.67</v>
      </c>
      <c r="BJ195">
        <v>75.33</v>
      </c>
      <c r="BK195">
        <v>2.77</v>
      </c>
      <c r="BM195">
        <v>0.02</v>
      </c>
      <c r="BN195" t="s">
        <v>299</v>
      </c>
      <c r="BO195" t="b">
        <v>0</v>
      </c>
      <c r="BP195" s="1">
        <f>IFERROR(RANK.EQ(AX195,AX$2:AX$213,0),"")</f>
        <v>0</v>
      </c>
      <c r="BQ195">
        <f>IFERROR(Y195/Z195,"")</f>
        <v>0</v>
      </c>
      <c r="BR195">
        <f>IFERROR(U195-V195,"")</f>
        <v>0</v>
      </c>
      <c r="BS195">
        <f>IFERROR(U195&gt;V195,"")</f>
        <v>0</v>
      </c>
      <c r="BT195">
        <f>IF(AND(ISNUMBER(D195),ISNUMBER(H195),D195&gt;=H195), OR(O195=TRUE,P195=TRUE), FALSE)</f>
        <v>0</v>
      </c>
      <c r="BU195">
        <f>AND(ISNUMBER(R195), R195&gt;=45, R195&lt;=60, W195=TRUE, E195&gt;=-20)</f>
        <v>0</v>
      </c>
      <c r="BV195">
        <f>OR(AI195=TRUE,AA195=TRUE)</f>
        <v>0</v>
      </c>
      <c r="BW195">
        <f>IFERROR( (AR195-D195) / MAX(D195-AQ195,1E-9) ,"")</f>
        <v>0</v>
      </c>
      <c r="BX195">
        <f>IFERROR(BW195&gt;=2, FALSE)</f>
        <v>0</v>
      </c>
      <c r="BY195" s="1">
        <f>IFERROR(ROUNDDOWN(MIN(IF(BA195&gt;0, BA195/D195, 1E99),IF(AZ195&gt;0, AZ195/MAX(D195-AQ195,1E-9), 1E99)),0),"")</f>
        <v>0</v>
      </c>
      <c r="BZ195" s="2">
        <f>IF(AND(ISNUMBER(D195),ISNUMBER(AT195)), D195*(1-AT195), "")</f>
        <v>0</v>
      </c>
      <c r="CA195">
        <f>AND(BT195=TRUE,BU195=TRUE,BV195=TRUE,BX195=TRUE)</f>
        <v>0</v>
      </c>
    </row>
    <row r="196" spans="1:79" x14ac:dyDescent="0.25">
      <c r="A196" t="s">
        <v>261</v>
      </c>
      <c r="B196">
        <f>HYPERLINK("data/charts/EVRG.png", "Open")</f>
        <v>0</v>
      </c>
      <c r="C196" t="s">
        <v>279</v>
      </c>
      <c r="D196">
        <v>71.95</v>
      </c>
      <c r="E196">
        <v>-2.73</v>
      </c>
      <c r="F196">
        <v>24.44</v>
      </c>
      <c r="G196">
        <v>8.85</v>
      </c>
      <c r="H196">
        <v>66.09999999999999</v>
      </c>
      <c r="I196">
        <v>0.06560000000000001</v>
      </c>
      <c r="J196" t="b">
        <v>1</v>
      </c>
      <c r="K196">
        <v>69.38</v>
      </c>
      <c r="L196">
        <v>71.31999999999999</v>
      </c>
      <c r="M196">
        <v>71.43000000000001</v>
      </c>
      <c r="N196">
        <v>69.91</v>
      </c>
      <c r="O196" t="b">
        <v>1</v>
      </c>
      <c r="P196" t="b">
        <v>1</v>
      </c>
      <c r="Q196" t="b">
        <v>1</v>
      </c>
      <c r="R196">
        <v>56.62</v>
      </c>
      <c r="S196" t="b">
        <v>0</v>
      </c>
      <c r="T196" t="b">
        <v>0</v>
      </c>
      <c r="U196">
        <v>1.0545</v>
      </c>
      <c r="V196">
        <v>1.0595</v>
      </c>
      <c r="W196" t="b">
        <v>0</v>
      </c>
      <c r="X196" t="b">
        <v>0</v>
      </c>
      <c r="Y196">
        <v>2124800</v>
      </c>
      <c r="Z196">
        <v>2409485</v>
      </c>
      <c r="AA196" t="b">
        <v>0</v>
      </c>
      <c r="AB196">
        <v>71.31999999999999</v>
      </c>
      <c r="AC196">
        <v>74.52</v>
      </c>
      <c r="AD196">
        <v>68.12</v>
      </c>
      <c r="AE196">
        <v>0.599</v>
      </c>
      <c r="AF196">
        <v>0.09</v>
      </c>
      <c r="AG196">
        <v>73.97</v>
      </c>
      <c r="AH196">
        <v>68</v>
      </c>
      <c r="AI196" t="b">
        <v>0</v>
      </c>
      <c r="AJ196">
        <v>1.163</v>
      </c>
      <c r="AK196">
        <v>70.20999999999999</v>
      </c>
      <c r="AL196">
        <v>71.81</v>
      </c>
      <c r="AM196">
        <v>68.12</v>
      </c>
      <c r="AN196">
        <v>64.04000000000001</v>
      </c>
      <c r="AO196">
        <v>71.81</v>
      </c>
      <c r="AP196" t="s">
        <v>282</v>
      </c>
      <c r="AQ196">
        <v>64.04000000000001</v>
      </c>
      <c r="AR196">
        <v>79.14</v>
      </c>
      <c r="AS196">
        <v>0.05</v>
      </c>
      <c r="AT196">
        <v>0.07000000000000001</v>
      </c>
      <c r="AU196">
        <v>60</v>
      </c>
      <c r="AV196">
        <v>0.9089767162749196</v>
      </c>
      <c r="AW196">
        <v>3</v>
      </c>
      <c r="AX196">
        <v>5</v>
      </c>
      <c r="AY196">
        <v>126</v>
      </c>
      <c r="AZ196">
        <v>1000</v>
      </c>
      <c r="BA196">
        <v>15000</v>
      </c>
      <c r="BD196">
        <v>19.77</v>
      </c>
      <c r="BE196">
        <v>17.81</v>
      </c>
      <c r="BF196">
        <v>3.71</v>
      </c>
      <c r="BG196">
        <v>0.73</v>
      </c>
      <c r="BH196">
        <v>1.48</v>
      </c>
      <c r="BI196">
        <v>4.55</v>
      </c>
      <c r="BJ196">
        <v>37.04</v>
      </c>
      <c r="BK196">
        <v>11.92</v>
      </c>
      <c r="BM196">
        <v>-1.15</v>
      </c>
      <c r="BN196" t="s">
        <v>290</v>
      </c>
      <c r="BO196" t="b">
        <v>0</v>
      </c>
      <c r="BP196" s="1">
        <f>IFERROR(RANK.EQ(AX196,AX$2:AX$213,0),"")</f>
        <v>0</v>
      </c>
      <c r="BQ196">
        <f>IFERROR(Y196/Z196,"")</f>
        <v>0</v>
      </c>
      <c r="BR196">
        <f>IFERROR(U196-V196,"")</f>
        <v>0</v>
      </c>
      <c r="BS196">
        <f>IFERROR(U196&gt;V196,"")</f>
        <v>0</v>
      </c>
      <c r="BT196">
        <f>IF(AND(ISNUMBER(D196),ISNUMBER(H196),D196&gt;=H196), OR(O196=TRUE,P196=TRUE), FALSE)</f>
        <v>0</v>
      </c>
      <c r="BU196">
        <f>AND(ISNUMBER(R196), R196&gt;=45, R196&lt;=60, W196=TRUE, E196&gt;=-20)</f>
        <v>0</v>
      </c>
      <c r="BV196">
        <f>OR(AI196=TRUE,AA196=TRUE)</f>
        <v>0</v>
      </c>
      <c r="BW196">
        <f>IFERROR( (AR196-D196) / MAX(D196-AQ196,1E-9) ,"")</f>
        <v>0</v>
      </c>
      <c r="BX196">
        <f>IFERROR(BW196&gt;=2, FALSE)</f>
        <v>0</v>
      </c>
      <c r="BY196" s="1">
        <f>IFERROR(ROUNDDOWN(MIN(IF(BA196&gt;0, BA196/D196, 1E99),IF(AZ196&gt;0, AZ196/MAX(D196-AQ196,1E-9), 1E99)),0),"")</f>
        <v>0</v>
      </c>
      <c r="BZ196" s="2">
        <f>IF(AND(ISNUMBER(D196),ISNUMBER(AT196)), D196*(1-AT196), "")</f>
        <v>0</v>
      </c>
      <c r="CA196">
        <f>AND(BT196=TRUE,BU196=TRUE,BV196=TRUE,BX196=TRUE)</f>
        <v>0</v>
      </c>
    </row>
    <row r="197" spans="1:79" x14ac:dyDescent="0.25">
      <c r="A197" t="s">
        <v>262</v>
      </c>
      <c r="B197">
        <f>HYPERLINK("data/charts/AEP.png", "Open")</f>
        <v>0</v>
      </c>
      <c r="C197" t="s">
        <v>279</v>
      </c>
      <c r="D197">
        <v>111.99</v>
      </c>
      <c r="E197">
        <v>-2.92</v>
      </c>
      <c r="F197">
        <v>24.56</v>
      </c>
      <c r="G197">
        <v>9.66</v>
      </c>
      <c r="H197">
        <v>102.12</v>
      </c>
      <c r="I197">
        <v>0.026</v>
      </c>
      <c r="J197" t="b">
        <v>1</v>
      </c>
      <c r="K197">
        <v>106.7</v>
      </c>
      <c r="L197">
        <v>111.67</v>
      </c>
      <c r="M197">
        <v>111.1</v>
      </c>
      <c r="N197">
        <v>108.33</v>
      </c>
      <c r="O197" t="b">
        <v>1</v>
      </c>
      <c r="P197" t="b">
        <v>1</v>
      </c>
      <c r="Q197" t="b">
        <v>1</v>
      </c>
      <c r="R197">
        <v>57.25</v>
      </c>
      <c r="S197" t="b">
        <v>0</v>
      </c>
      <c r="T197" t="b">
        <v>0</v>
      </c>
      <c r="U197">
        <v>1.7377</v>
      </c>
      <c r="V197">
        <v>2.0265</v>
      </c>
      <c r="W197" t="b">
        <v>0</v>
      </c>
      <c r="X197" t="b">
        <v>0</v>
      </c>
      <c r="Y197">
        <v>2354100</v>
      </c>
      <c r="Z197">
        <v>3632835</v>
      </c>
      <c r="AA197" t="b">
        <v>0</v>
      </c>
      <c r="AB197">
        <v>111.67</v>
      </c>
      <c r="AC197">
        <v>115.78</v>
      </c>
      <c r="AD197">
        <v>107.56</v>
      </c>
      <c r="AE197">
        <v>0.539</v>
      </c>
      <c r="AF197">
        <v>0.074</v>
      </c>
      <c r="AG197">
        <v>115.36</v>
      </c>
      <c r="AH197">
        <v>107.5</v>
      </c>
      <c r="AI197" t="b">
        <v>0</v>
      </c>
      <c r="AJ197">
        <v>1.625</v>
      </c>
      <c r="AK197">
        <v>109.55</v>
      </c>
      <c r="AL197">
        <v>111.13</v>
      </c>
      <c r="AM197">
        <v>107.56</v>
      </c>
      <c r="AN197">
        <v>99.67</v>
      </c>
      <c r="AO197">
        <v>111.13</v>
      </c>
      <c r="AP197" t="s">
        <v>282</v>
      </c>
      <c r="AQ197">
        <v>99.67</v>
      </c>
      <c r="AR197">
        <v>123.19</v>
      </c>
      <c r="AS197">
        <v>0.05</v>
      </c>
      <c r="AT197">
        <v>0.07000000000000001</v>
      </c>
      <c r="AU197">
        <v>60</v>
      </c>
      <c r="AV197">
        <v>0.9090912401184151</v>
      </c>
      <c r="AW197">
        <v>3</v>
      </c>
      <c r="AX197">
        <v>5</v>
      </c>
      <c r="AY197">
        <v>81</v>
      </c>
      <c r="AZ197">
        <v>1000</v>
      </c>
      <c r="BA197">
        <v>15000</v>
      </c>
      <c r="BD197">
        <v>16.42</v>
      </c>
      <c r="BE197">
        <v>19.01</v>
      </c>
      <c r="BF197">
        <v>3.32</v>
      </c>
      <c r="BG197">
        <v>0.54</v>
      </c>
      <c r="BH197">
        <v>1.51</v>
      </c>
      <c r="BI197">
        <v>-6.89</v>
      </c>
      <c r="BJ197">
        <v>52.67</v>
      </c>
      <c r="BK197">
        <v>24.1</v>
      </c>
      <c r="BM197">
        <v>0.06</v>
      </c>
      <c r="BN197" t="s">
        <v>312</v>
      </c>
      <c r="BO197" t="b">
        <v>0</v>
      </c>
      <c r="BP197" s="1">
        <f>IFERROR(RANK.EQ(AX197,AX$2:AX$213,0),"")</f>
        <v>0</v>
      </c>
      <c r="BQ197">
        <f>IFERROR(Y197/Z197,"")</f>
        <v>0</v>
      </c>
      <c r="BR197">
        <f>IFERROR(U197-V197,"")</f>
        <v>0</v>
      </c>
      <c r="BS197">
        <f>IFERROR(U197&gt;V197,"")</f>
        <v>0</v>
      </c>
      <c r="BT197">
        <f>IF(AND(ISNUMBER(D197),ISNUMBER(H197),D197&gt;=H197), OR(O197=TRUE,P197=TRUE), FALSE)</f>
        <v>0</v>
      </c>
      <c r="BU197">
        <f>AND(ISNUMBER(R197), R197&gt;=45, R197&lt;=60, W197=TRUE, E197&gt;=-20)</f>
        <v>0</v>
      </c>
      <c r="BV197">
        <f>OR(AI197=TRUE,AA197=TRUE)</f>
        <v>0</v>
      </c>
      <c r="BW197">
        <f>IFERROR( (AR197-D197) / MAX(D197-AQ197,1E-9) ,"")</f>
        <v>0</v>
      </c>
      <c r="BX197">
        <f>IFERROR(BW197&gt;=2, FALSE)</f>
        <v>0</v>
      </c>
      <c r="BY197" s="1">
        <f>IFERROR(ROUNDDOWN(MIN(IF(BA197&gt;0, BA197/D197, 1E99),IF(AZ197&gt;0, AZ197/MAX(D197-AQ197,1E-9), 1E99)),0),"")</f>
        <v>0</v>
      </c>
      <c r="BZ197" s="2">
        <f>IF(AND(ISNUMBER(D197),ISNUMBER(AT197)), D197*(1-AT197), "")</f>
        <v>0</v>
      </c>
      <c r="CA197">
        <f>AND(BT197=TRUE,BU197=TRUE,BV197=TRUE,BX197=TRUE)</f>
        <v>0</v>
      </c>
    </row>
    <row r="198" spans="1:79" x14ac:dyDescent="0.25">
      <c r="A198" t="s">
        <v>263</v>
      </c>
      <c r="B198">
        <f>HYPERLINK("data/charts/JWEL_TO.png", "Open")</f>
        <v>0</v>
      </c>
      <c r="C198" t="s">
        <v>279</v>
      </c>
      <c r="D198">
        <v>36.11</v>
      </c>
      <c r="E198">
        <v>-5.47</v>
      </c>
      <c r="F198">
        <v>29.43</v>
      </c>
      <c r="G198">
        <v>6.64</v>
      </c>
      <c r="H198">
        <v>33.86</v>
      </c>
      <c r="I198">
        <v>0.0188</v>
      </c>
      <c r="J198" t="b">
        <v>1</v>
      </c>
      <c r="K198">
        <v>35.39</v>
      </c>
      <c r="L198">
        <v>35.01</v>
      </c>
      <c r="M198">
        <v>35.47</v>
      </c>
      <c r="N198">
        <v>35.02</v>
      </c>
      <c r="O198" t="b">
        <v>1</v>
      </c>
      <c r="P198" t="b">
        <v>1</v>
      </c>
      <c r="Q198" t="b">
        <v>1</v>
      </c>
      <c r="R198">
        <v>57.31</v>
      </c>
      <c r="S198" t="b">
        <v>0</v>
      </c>
      <c r="T198" t="b">
        <v>0</v>
      </c>
      <c r="U198">
        <v>0.4482</v>
      </c>
      <c r="V198">
        <v>0.2025</v>
      </c>
      <c r="W198" t="b">
        <v>0</v>
      </c>
      <c r="X198" t="b">
        <v>0</v>
      </c>
      <c r="Y198">
        <v>56600</v>
      </c>
      <c r="Z198">
        <v>81090</v>
      </c>
      <c r="AA198" t="b">
        <v>0</v>
      </c>
      <c r="AB198">
        <v>35.01</v>
      </c>
      <c r="AC198">
        <v>37.49</v>
      </c>
      <c r="AD198">
        <v>32.52</v>
      </c>
      <c r="AE198">
        <v>0.723</v>
      </c>
      <c r="AF198">
        <v>0.142</v>
      </c>
      <c r="AG198">
        <v>37.72</v>
      </c>
      <c r="AH198">
        <v>33.33</v>
      </c>
      <c r="AI198" t="b">
        <v>0</v>
      </c>
      <c r="AJ198">
        <v>0.764</v>
      </c>
      <c r="AK198">
        <v>34.96</v>
      </c>
      <c r="AL198">
        <v>33.33</v>
      </c>
      <c r="AM198">
        <v>32.52</v>
      </c>
      <c r="AN198">
        <v>32.14</v>
      </c>
      <c r="AO198">
        <v>34.96</v>
      </c>
      <c r="AP198" t="s">
        <v>280</v>
      </c>
      <c r="AQ198">
        <v>32.14</v>
      </c>
      <c r="AR198">
        <v>39.72</v>
      </c>
      <c r="AS198">
        <v>0.05</v>
      </c>
      <c r="AT198">
        <v>0.07000000000000001</v>
      </c>
      <c r="AU198">
        <v>60</v>
      </c>
      <c r="AV198">
        <v>0.9093196057037266</v>
      </c>
      <c r="AW198">
        <v>3</v>
      </c>
      <c r="AX198">
        <v>5</v>
      </c>
      <c r="AY198">
        <v>251</v>
      </c>
      <c r="AZ198">
        <v>1000</v>
      </c>
      <c r="BA198">
        <v>15000</v>
      </c>
      <c r="BD198">
        <v>27.15</v>
      </c>
      <c r="BE198">
        <v>17.88</v>
      </c>
      <c r="BF198">
        <v>2.55</v>
      </c>
      <c r="BG198">
        <v>0.63</v>
      </c>
      <c r="BH198">
        <v>0.82</v>
      </c>
      <c r="BI198">
        <v>36.41</v>
      </c>
      <c r="BJ198">
        <v>-616.67</v>
      </c>
      <c r="BK198">
        <v>6.56</v>
      </c>
      <c r="BM198">
        <v>0.53</v>
      </c>
      <c r="BN198" t="s">
        <v>321</v>
      </c>
      <c r="BO198" t="b">
        <v>0</v>
      </c>
      <c r="BP198" s="1">
        <f>IFERROR(RANK.EQ(AX198,AX$2:AX$213,0),"")</f>
        <v>0</v>
      </c>
      <c r="BQ198">
        <f>IFERROR(Y198/Z198,"")</f>
        <v>0</v>
      </c>
      <c r="BR198">
        <f>IFERROR(U198-V198,"")</f>
        <v>0</v>
      </c>
      <c r="BS198">
        <f>IFERROR(U198&gt;V198,"")</f>
        <v>0</v>
      </c>
      <c r="BT198">
        <f>IF(AND(ISNUMBER(D198),ISNUMBER(H198),D198&gt;=H198), OR(O198=TRUE,P198=TRUE), FALSE)</f>
        <v>0</v>
      </c>
      <c r="BU198">
        <f>AND(ISNUMBER(R198), R198&gt;=45, R198&lt;=60, W198=TRUE, E198&gt;=-20)</f>
        <v>0</v>
      </c>
      <c r="BV198">
        <f>OR(AI198=TRUE,AA198=TRUE)</f>
        <v>0</v>
      </c>
      <c r="BW198">
        <f>IFERROR( (AR198-D198) / MAX(D198-AQ198,1E-9) ,"")</f>
        <v>0</v>
      </c>
      <c r="BX198">
        <f>IFERROR(BW198&gt;=2, FALSE)</f>
        <v>0</v>
      </c>
      <c r="BY198" s="1">
        <f>IFERROR(ROUNDDOWN(MIN(IF(BA198&gt;0, BA198/D198, 1E99),IF(AZ198&gt;0, AZ198/MAX(D198-AQ198,1E-9), 1E99)),0),"")</f>
        <v>0</v>
      </c>
      <c r="BZ198" s="2">
        <f>IF(AND(ISNUMBER(D198),ISNUMBER(AT198)), D198*(1-AT198), "")</f>
        <v>0</v>
      </c>
      <c r="CA198">
        <f>AND(BT198=TRUE,BU198=TRUE,BV198=TRUE,BX198=TRUE)</f>
        <v>0</v>
      </c>
    </row>
    <row r="199" spans="1:79" x14ac:dyDescent="0.25">
      <c r="A199" t="s">
        <v>264</v>
      </c>
      <c r="B199">
        <f>HYPERLINK("data/charts/STX.png", "Open")</f>
        <v>0</v>
      </c>
      <c r="C199" t="s">
        <v>279</v>
      </c>
      <c r="D199">
        <v>154.43</v>
      </c>
      <c r="E199">
        <v>-2.26</v>
      </c>
      <c r="F199">
        <v>144.39</v>
      </c>
      <c r="G199">
        <v>44.2</v>
      </c>
      <c r="H199">
        <v>107.09</v>
      </c>
      <c r="I199">
        <v>0.1888</v>
      </c>
      <c r="J199" t="b">
        <v>1</v>
      </c>
      <c r="K199">
        <v>144.14</v>
      </c>
      <c r="L199">
        <v>152.09</v>
      </c>
      <c r="M199">
        <v>151.26</v>
      </c>
      <c r="N199">
        <v>141.85</v>
      </c>
      <c r="O199" t="b">
        <v>1</v>
      </c>
      <c r="P199" t="b">
        <v>1</v>
      </c>
      <c r="Q199" t="b">
        <v>1</v>
      </c>
      <c r="R199">
        <v>58.01</v>
      </c>
      <c r="S199" t="b">
        <v>0</v>
      </c>
      <c r="T199" t="b">
        <v>0</v>
      </c>
      <c r="U199">
        <v>3.1513</v>
      </c>
      <c r="V199">
        <v>3.4698</v>
      </c>
      <c r="W199" t="b">
        <v>0</v>
      </c>
      <c r="X199" t="b">
        <v>1</v>
      </c>
      <c r="Y199">
        <v>1431500</v>
      </c>
      <c r="Z199">
        <v>3692225</v>
      </c>
      <c r="AA199" t="b">
        <v>0</v>
      </c>
      <c r="AB199">
        <v>152.09</v>
      </c>
      <c r="AC199">
        <v>158.39</v>
      </c>
      <c r="AD199">
        <v>145.78</v>
      </c>
      <c r="AE199">
        <v>0.6860000000000001</v>
      </c>
      <c r="AF199">
        <v>0.083</v>
      </c>
      <c r="AG199">
        <v>158</v>
      </c>
      <c r="AH199">
        <v>138.3</v>
      </c>
      <c r="AI199" t="b">
        <v>0</v>
      </c>
      <c r="AJ199">
        <v>5.679</v>
      </c>
      <c r="AK199">
        <v>145.91</v>
      </c>
      <c r="AL199">
        <v>144.75</v>
      </c>
      <c r="AM199">
        <v>145.78</v>
      </c>
      <c r="AN199">
        <v>137.44</v>
      </c>
      <c r="AO199">
        <v>145.91</v>
      </c>
      <c r="AP199" t="s">
        <v>280</v>
      </c>
      <c r="AQ199">
        <v>137.44</v>
      </c>
      <c r="AR199">
        <v>169.87</v>
      </c>
      <c r="AS199">
        <v>0.05</v>
      </c>
      <c r="AT199">
        <v>0.07000000000000001</v>
      </c>
      <c r="AU199">
        <v>60</v>
      </c>
      <c r="AV199">
        <v>0.9087706874781672</v>
      </c>
      <c r="AW199">
        <v>3</v>
      </c>
      <c r="AX199">
        <v>5</v>
      </c>
      <c r="AY199">
        <v>58</v>
      </c>
      <c r="AZ199">
        <v>1000</v>
      </c>
      <c r="BA199">
        <v>15000</v>
      </c>
      <c r="BD199">
        <v>22.84</v>
      </c>
      <c r="BE199">
        <v>15.92</v>
      </c>
      <c r="BF199">
        <v>1.86</v>
      </c>
      <c r="BG199">
        <v>0.42</v>
      </c>
      <c r="BH199">
        <v>-11.03</v>
      </c>
      <c r="BI199">
        <v>13.15</v>
      </c>
      <c r="BJ199">
        <v>43.75</v>
      </c>
      <c r="BK199">
        <v>19.97</v>
      </c>
      <c r="BM199">
        <v>-4.66</v>
      </c>
      <c r="BN199" t="s">
        <v>285</v>
      </c>
      <c r="BO199" t="b">
        <v>0</v>
      </c>
      <c r="BP199" s="1">
        <f>IFERROR(RANK.EQ(AX199,AX$2:AX$213,0),"")</f>
        <v>0</v>
      </c>
      <c r="BQ199">
        <f>IFERROR(Y199/Z199,"")</f>
        <v>0</v>
      </c>
      <c r="BR199">
        <f>IFERROR(U199-V199,"")</f>
        <v>0</v>
      </c>
      <c r="BS199">
        <f>IFERROR(U199&gt;V199,"")</f>
        <v>0</v>
      </c>
      <c r="BT199">
        <f>IF(AND(ISNUMBER(D199),ISNUMBER(H199),D199&gt;=H199), OR(O199=TRUE,P199=TRUE), FALSE)</f>
        <v>0</v>
      </c>
      <c r="BU199">
        <f>AND(ISNUMBER(R199), R199&gt;=45, R199&lt;=60, W199=TRUE, E199&gt;=-20)</f>
        <v>0</v>
      </c>
      <c r="BV199">
        <f>OR(AI199=TRUE,AA199=TRUE)</f>
        <v>0</v>
      </c>
      <c r="BW199">
        <f>IFERROR( (AR199-D199) / MAX(D199-AQ199,1E-9) ,"")</f>
        <v>0</v>
      </c>
      <c r="BX199">
        <f>IFERROR(BW199&gt;=2, FALSE)</f>
        <v>0</v>
      </c>
      <c r="BY199" s="1">
        <f>IFERROR(ROUNDDOWN(MIN(IF(BA199&gt;0, BA199/D199, 1E99),IF(AZ199&gt;0, AZ199/MAX(D199-AQ199,1E-9), 1E99)),0),"")</f>
        <v>0</v>
      </c>
      <c r="BZ199" s="2">
        <f>IF(AND(ISNUMBER(D199),ISNUMBER(AT199)), D199*(1-AT199), "")</f>
        <v>0</v>
      </c>
      <c r="CA199">
        <f>AND(BT199=TRUE,BU199=TRUE,BV199=TRUE,BX199=TRUE)</f>
        <v>0</v>
      </c>
    </row>
    <row r="200" spans="1:79" x14ac:dyDescent="0.25">
      <c r="A200" t="s">
        <v>265</v>
      </c>
      <c r="B200">
        <f>HYPERLINK("data/charts/TSN.png", "Open")</f>
        <v>0</v>
      </c>
      <c r="C200" t="s">
        <v>279</v>
      </c>
      <c r="D200">
        <v>56.8</v>
      </c>
      <c r="E200">
        <v>-15.07</v>
      </c>
      <c r="F200">
        <v>9.550000000000001</v>
      </c>
      <c r="G200">
        <v>-2.44</v>
      </c>
      <c r="H200">
        <v>58.22</v>
      </c>
      <c r="I200">
        <v>-0.0546</v>
      </c>
      <c r="J200" t="b">
        <v>0</v>
      </c>
      <c r="K200">
        <v>54.99</v>
      </c>
      <c r="L200">
        <v>54.85</v>
      </c>
      <c r="M200">
        <v>55.43</v>
      </c>
      <c r="N200">
        <v>55.44</v>
      </c>
      <c r="O200" t="b">
        <v>1</v>
      </c>
      <c r="P200" t="b">
        <v>1</v>
      </c>
      <c r="Q200" t="b">
        <v>1</v>
      </c>
      <c r="R200">
        <v>58.77</v>
      </c>
      <c r="S200" t="b">
        <v>0</v>
      </c>
      <c r="T200" t="b">
        <v>0</v>
      </c>
      <c r="U200">
        <v>0.6074000000000001</v>
      </c>
      <c r="V200">
        <v>0.259</v>
      </c>
      <c r="W200" t="b">
        <v>0</v>
      </c>
      <c r="X200" t="b">
        <v>1</v>
      </c>
      <c r="Y200">
        <v>1971800</v>
      </c>
      <c r="Z200">
        <v>2727405</v>
      </c>
      <c r="AA200" t="b">
        <v>0</v>
      </c>
      <c r="AB200">
        <v>54.85</v>
      </c>
      <c r="AC200">
        <v>58.09</v>
      </c>
      <c r="AD200">
        <v>51.6</v>
      </c>
      <c r="AE200">
        <v>0.801</v>
      </c>
      <c r="AF200">
        <v>0.118</v>
      </c>
      <c r="AG200">
        <v>57.74</v>
      </c>
      <c r="AH200">
        <v>51.85</v>
      </c>
      <c r="AI200" t="b">
        <v>0</v>
      </c>
      <c r="AJ200">
        <v>1.179</v>
      </c>
      <c r="AK200">
        <v>55.03</v>
      </c>
      <c r="AL200">
        <v>51.85</v>
      </c>
      <c r="AM200">
        <v>51.6</v>
      </c>
      <c r="AN200">
        <v>50.55</v>
      </c>
      <c r="AO200">
        <v>55.03</v>
      </c>
      <c r="AP200" t="s">
        <v>280</v>
      </c>
      <c r="AQ200">
        <v>50.55</v>
      </c>
      <c r="AR200">
        <v>62.48</v>
      </c>
      <c r="AS200">
        <v>0.05</v>
      </c>
      <c r="AT200">
        <v>0.07000000000000001</v>
      </c>
      <c r="AU200">
        <v>60</v>
      </c>
      <c r="AV200">
        <v>0.9088002330078401</v>
      </c>
      <c r="AW200">
        <v>3</v>
      </c>
      <c r="AX200">
        <v>5</v>
      </c>
      <c r="AY200">
        <v>160</v>
      </c>
      <c r="AZ200">
        <v>1000</v>
      </c>
      <c r="BA200">
        <v>15000</v>
      </c>
      <c r="BD200">
        <v>25.82</v>
      </c>
      <c r="BE200">
        <v>16.23</v>
      </c>
      <c r="BF200">
        <v>3.52</v>
      </c>
      <c r="BG200">
        <v>0.9</v>
      </c>
      <c r="BH200">
        <v>0.49</v>
      </c>
      <c r="BI200">
        <v>6.2</v>
      </c>
      <c r="BJ200">
        <v>800</v>
      </c>
      <c r="BK200">
        <v>0.44</v>
      </c>
      <c r="BM200">
        <v>-0.38</v>
      </c>
      <c r="BN200" t="s">
        <v>299</v>
      </c>
      <c r="BO200" t="b">
        <v>0</v>
      </c>
      <c r="BP200" s="1">
        <f>IFERROR(RANK.EQ(AX200,AX$2:AX$213,0),"")</f>
        <v>0</v>
      </c>
      <c r="BQ200">
        <f>IFERROR(Y200/Z200,"")</f>
        <v>0</v>
      </c>
      <c r="BR200">
        <f>IFERROR(U200-V200,"")</f>
        <v>0</v>
      </c>
      <c r="BS200">
        <f>IFERROR(U200&gt;V200,"")</f>
        <v>0</v>
      </c>
      <c r="BT200">
        <f>IF(AND(ISNUMBER(D200),ISNUMBER(H200),D200&gt;=H200), OR(O200=TRUE,P200=TRUE), FALSE)</f>
        <v>0</v>
      </c>
      <c r="BU200">
        <f>AND(ISNUMBER(R200), R200&gt;=45, R200&lt;=60, W200=TRUE, E200&gt;=-20)</f>
        <v>0</v>
      </c>
      <c r="BV200">
        <f>OR(AI200=TRUE,AA200=TRUE)</f>
        <v>0</v>
      </c>
      <c r="BW200">
        <f>IFERROR( (AR200-D200) / MAX(D200-AQ200,1E-9) ,"")</f>
        <v>0</v>
      </c>
      <c r="BX200">
        <f>IFERROR(BW200&gt;=2, FALSE)</f>
        <v>0</v>
      </c>
      <c r="BY200" s="1">
        <f>IFERROR(ROUNDDOWN(MIN(IF(BA200&gt;0, BA200/D200, 1E99),IF(AZ200&gt;0, AZ200/MAX(D200-AQ200,1E-9), 1E99)),0),"")</f>
        <v>0</v>
      </c>
      <c r="BZ200" s="2">
        <f>IF(AND(ISNUMBER(D200),ISNUMBER(AT200)), D200*(1-AT200), "")</f>
        <v>0</v>
      </c>
      <c r="CA200">
        <f>AND(BT200=TRUE,BU200=TRUE,BV200=TRUE,BX200=TRUE)</f>
        <v>0</v>
      </c>
    </row>
    <row r="201" spans="1:79" x14ac:dyDescent="0.25">
      <c r="A201" t="s">
        <v>266</v>
      </c>
      <c r="B201">
        <f>HYPERLINK("data/charts/ERIE.png", "Open")</f>
        <v>0</v>
      </c>
      <c r="C201" t="s">
        <v>279</v>
      </c>
      <c r="D201">
        <v>366.52</v>
      </c>
      <c r="E201">
        <v>-32.99</v>
      </c>
      <c r="F201">
        <v>10.28</v>
      </c>
      <c r="G201">
        <v>-6.22</v>
      </c>
      <c r="H201">
        <v>390.82</v>
      </c>
      <c r="I201">
        <v>-0.2137</v>
      </c>
      <c r="J201" t="b">
        <v>0</v>
      </c>
      <c r="K201">
        <v>354.29</v>
      </c>
      <c r="L201">
        <v>359.14</v>
      </c>
      <c r="M201">
        <v>358.88</v>
      </c>
      <c r="N201">
        <v>358.69</v>
      </c>
      <c r="O201" t="b">
        <v>1</v>
      </c>
      <c r="P201" t="b">
        <v>1</v>
      </c>
      <c r="Q201" t="b">
        <v>1</v>
      </c>
      <c r="R201">
        <v>58.77</v>
      </c>
      <c r="S201" t="b">
        <v>0</v>
      </c>
      <c r="T201" t="b">
        <v>0</v>
      </c>
      <c r="U201">
        <v>3.3165</v>
      </c>
      <c r="V201">
        <v>2.0517</v>
      </c>
      <c r="W201" t="b">
        <v>0</v>
      </c>
      <c r="X201" t="b">
        <v>1</v>
      </c>
      <c r="Y201">
        <v>201900</v>
      </c>
      <c r="Z201">
        <v>158000</v>
      </c>
      <c r="AA201" t="b">
        <v>0</v>
      </c>
      <c r="AB201">
        <v>359.14</v>
      </c>
      <c r="AC201">
        <v>370.5</v>
      </c>
      <c r="AD201">
        <v>347.78</v>
      </c>
      <c r="AE201">
        <v>0.825</v>
      </c>
      <c r="AF201">
        <v>0.063</v>
      </c>
      <c r="AG201">
        <v>380.67</v>
      </c>
      <c r="AH201">
        <v>346</v>
      </c>
      <c r="AI201" t="b">
        <v>0</v>
      </c>
      <c r="AJ201">
        <v>8.898999999999999</v>
      </c>
      <c r="AK201">
        <v>353.17</v>
      </c>
      <c r="AL201">
        <v>346</v>
      </c>
      <c r="AM201">
        <v>347.78</v>
      </c>
      <c r="AN201">
        <v>326.2</v>
      </c>
      <c r="AO201">
        <v>353.17</v>
      </c>
      <c r="AP201" t="s">
        <v>280</v>
      </c>
      <c r="AQ201">
        <v>326.2</v>
      </c>
      <c r="AR201">
        <v>403.17</v>
      </c>
      <c r="AS201">
        <v>0.05</v>
      </c>
      <c r="AT201">
        <v>0.07000000000000001</v>
      </c>
      <c r="AU201">
        <v>60</v>
      </c>
      <c r="AV201">
        <v>0.9089786947585895</v>
      </c>
      <c r="AW201">
        <v>3</v>
      </c>
      <c r="AX201">
        <v>5</v>
      </c>
      <c r="AY201">
        <v>24</v>
      </c>
      <c r="AZ201">
        <v>1000</v>
      </c>
      <c r="BA201">
        <v>15000</v>
      </c>
      <c r="BD201">
        <v>30.67</v>
      </c>
      <c r="BE201">
        <v>27.35</v>
      </c>
      <c r="BF201">
        <v>1.49</v>
      </c>
      <c r="BG201">
        <v>0.44</v>
      </c>
      <c r="BH201">
        <v>0.43</v>
      </c>
      <c r="BI201">
        <v>6.05</v>
      </c>
      <c r="BJ201">
        <v>26.26</v>
      </c>
      <c r="BK201">
        <v>13.52</v>
      </c>
      <c r="BM201">
        <v>4.65</v>
      </c>
      <c r="BN201" t="s">
        <v>285</v>
      </c>
      <c r="BO201" t="b">
        <v>0</v>
      </c>
      <c r="BP201" s="1">
        <f>IFERROR(RANK.EQ(AX201,AX$2:AX$213,0),"")</f>
        <v>0</v>
      </c>
      <c r="BQ201">
        <f>IFERROR(Y201/Z201,"")</f>
        <v>0</v>
      </c>
      <c r="BR201">
        <f>IFERROR(U201-V201,"")</f>
        <v>0</v>
      </c>
      <c r="BS201">
        <f>IFERROR(U201&gt;V201,"")</f>
        <v>0</v>
      </c>
      <c r="BT201">
        <f>IF(AND(ISNUMBER(D201),ISNUMBER(H201),D201&gt;=H201), OR(O201=TRUE,P201=TRUE), FALSE)</f>
        <v>0</v>
      </c>
      <c r="BU201">
        <f>AND(ISNUMBER(R201), R201&gt;=45, R201&lt;=60, W201=TRUE, E201&gt;=-20)</f>
        <v>0</v>
      </c>
      <c r="BV201">
        <f>OR(AI201=TRUE,AA201=TRUE)</f>
        <v>0</v>
      </c>
      <c r="BW201">
        <f>IFERROR( (AR201-D201) / MAX(D201-AQ201,1E-9) ,"")</f>
        <v>0</v>
      </c>
      <c r="BX201">
        <f>IFERROR(BW201&gt;=2, FALSE)</f>
        <v>0</v>
      </c>
      <c r="BY201" s="1">
        <f>IFERROR(ROUNDDOWN(MIN(IF(BA201&gt;0, BA201/D201, 1E99),IF(AZ201&gt;0, AZ201/MAX(D201-AQ201,1E-9), 1E99)),0),"")</f>
        <v>0</v>
      </c>
      <c r="BZ201" s="2">
        <f>IF(AND(ISNUMBER(D201),ISNUMBER(AT201)), D201*(1-AT201), "")</f>
        <v>0</v>
      </c>
      <c r="CA201">
        <f>AND(BT201=TRUE,BU201=TRUE,BV201=TRUE,BX201=TRUE)</f>
        <v>0</v>
      </c>
    </row>
    <row r="202" spans="1:79" x14ac:dyDescent="0.25">
      <c r="A202" t="s">
        <v>267</v>
      </c>
      <c r="B202">
        <f>HYPERLINK("data/charts/MCD.png", "Open")</f>
        <v>0</v>
      </c>
      <c r="C202" t="s">
        <v>279</v>
      </c>
      <c r="D202">
        <v>308.93</v>
      </c>
      <c r="E202">
        <v>-5.33</v>
      </c>
      <c r="F202">
        <v>15.06</v>
      </c>
      <c r="G202">
        <v>2.58</v>
      </c>
      <c r="H202">
        <v>301.17</v>
      </c>
      <c r="I202">
        <v>-0.0016</v>
      </c>
      <c r="J202" t="b">
        <v>0</v>
      </c>
      <c r="K202">
        <v>298.76</v>
      </c>
      <c r="L202">
        <v>302.37</v>
      </c>
      <c r="M202">
        <v>303.13</v>
      </c>
      <c r="N202">
        <v>302.14</v>
      </c>
      <c r="O202" t="b">
        <v>1</v>
      </c>
      <c r="P202" t="b">
        <v>1</v>
      </c>
      <c r="Q202" t="b">
        <v>1</v>
      </c>
      <c r="R202">
        <v>59.46</v>
      </c>
      <c r="S202" t="b">
        <v>0</v>
      </c>
      <c r="T202" t="b">
        <v>0</v>
      </c>
      <c r="U202">
        <v>2.2672</v>
      </c>
      <c r="V202">
        <v>1.6626</v>
      </c>
      <c r="W202" t="b">
        <v>0</v>
      </c>
      <c r="X202" t="b">
        <v>1</v>
      </c>
      <c r="Y202">
        <v>3416600</v>
      </c>
      <c r="Z202">
        <v>3543600</v>
      </c>
      <c r="AA202" t="b">
        <v>0</v>
      </c>
      <c r="AB202">
        <v>302.37</v>
      </c>
      <c r="AC202">
        <v>310.73</v>
      </c>
      <c r="AD202">
        <v>294.01</v>
      </c>
      <c r="AE202">
        <v>0.892</v>
      </c>
      <c r="AF202">
        <v>0.055</v>
      </c>
      <c r="AG202">
        <v>310.4</v>
      </c>
      <c r="AH202">
        <v>294.41</v>
      </c>
      <c r="AI202" t="b">
        <v>0</v>
      </c>
      <c r="AJ202">
        <v>4.939</v>
      </c>
      <c r="AK202">
        <v>301.52</v>
      </c>
      <c r="AL202">
        <v>299.89</v>
      </c>
      <c r="AM202">
        <v>294.01</v>
      </c>
      <c r="AN202">
        <v>274.95</v>
      </c>
      <c r="AO202">
        <v>301.52</v>
      </c>
      <c r="AP202" t="s">
        <v>280</v>
      </c>
      <c r="AQ202">
        <v>274.95</v>
      </c>
      <c r="AR202">
        <v>339.82</v>
      </c>
      <c r="AS202">
        <v>0.05</v>
      </c>
      <c r="AT202">
        <v>0.07000000000000001</v>
      </c>
      <c r="AU202">
        <v>60</v>
      </c>
      <c r="AV202">
        <v>0.9090645668748228</v>
      </c>
      <c r="AW202">
        <v>3</v>
      </c>
      <c r="AX202">
        <v>5</v>
      </c>
      <c r="AY202">
        <v>29</v>
      </c>
      <c r="AZ202">
        <v>1000</v>
      </c>
      <c r="BA202">
        <v>15000</v>
      </c>
      <c r="BD202">
        <v>26.45</v>
      </c>
      <c r="BE202">
        <v>24.5</v>
      </c>
      <c r="BF202">
        <v>2.29</v>
      </c>
      <c r="BG202">
        <v>0.6</v>
      </c>
      <c r="BH202">
        <v>-20.24</v>
      </c>
      <c r="BI202">
        <v>14.91</v>
      </c>
      <c r="BJ202">
        <v>20.69</v>
      </c>
      <c r="BK202">
        <v>32.92</v>
      </c>
      <c r="BM202">
        <v>2.32</v>
      </c>
      <c r="BN202" t="s">
        <v>285</v>
      </c>
      <c r="BO202" t="b">
        <v>0</v>
      </c>
      <c r="BP202" s="1">
        <f>IFERROR(RANK.EQ(AX202,AX$2:AX$213,0),"")</f>
        <v>0</v>
      </c>
      <c r="BQ202">
        <f>IFERROR(Y202/Z202,"")</f>
        <v>0</v>
      </c>
      <c r="BR202">
        <f>IFERROR(U202-V202,"")</f>
        <v>0</v>
      </c>
      <c r="BS202">
        <f>IFERROR(U202&gt;V202,"")</f>
        <v>0</v>
      </c>
      <c r="BT202">
        <f>IF(AND(ISNUMBER(D202),ISNUMBER(H202),D202&gt;=H202), OR(O202=TRUE,P202=TRUE), FALSE)</f>
        <v>0</v>
      </c>
      <c r="BU202">
        <f>AND(ISNUMBER(R202), R202&gt;=45, R202&lt;=60, W202=TRUE, E202&gt;=-20)</f>
        <v>0</v>
      </c>
      <c r="BV202">
        <f>OR(AI202=TRUE,AA202=TRUE)</f>
        <v>0</v>
      </c>
      <c r="BW202">
        <f>IFERROR( (AR202-D202) / MAX(D202-AQ202,1E-9) ,"")</f>
        <v>0</v>
      </c>
      <c r="BX202">
        <f>IFERROR(BW202&gt;=2, FALSE)</f>
        <v>0</v>
      </c>
      <c r="BY202" s="1">
        <f>IFERROR(ROUNDDOWN(MIN(IF(BA202&gt;0, BA202/D202, 1E99),IF(AZ202&gt;0, AZ202/MAX(D202-AQ202,1E-9), 1E99)),0),"")</f>
        <v>0</v>
      </c>
      <c r="BZ202" s="2">
        <f>IF(AND(ISNUMBER(D202),ISNUMBER(AT202)), D202*(1-AT202), "")</f>
        <v>0</v>
      </c>
      <c r="CA202">
        <f>AND(BT202=TRUE,BU202=TRUE,BV202=TRUE,BX202=TRUE)</f>
        <v>0</v>
      </c>
    </row>
    <row r="203" spans="1:79" x14ac:dyDescent="0.25">
      <c r="A203" t="s">
        <v>268</v>
      </c>
      <c r="B203">
        <f>HYPERLINK("data/charts/GD.png", "Open")</f>
        <v>0</v>
      </c>
      <c r="C203" t="s">
        <v>279</v>
      </c>
      <c r="D203">
        <v>313.69</v>
      </c>
      <c r="E203">
        <v>-2.73</v>
      </c>
      <c r="F203">
        <v>31.14</v>
      </c>
      <c r="G203">
        <v>13.09</v>
      </c>
      <c r="H203">
        <v>277.37</v>
      </c>
      <c r="I203">
        <v>-0.0025</v>
      </c>
      <c r="J203" t="b">
        <v>0</v>
      </c>
      <c r="K203">
        <v>298.33</v>
      </c>
      <c r="L203">
        <v>312.33</v>
      </c>
      <c r="M203">
        <v>310.77</v>
      </c>
      <c r="N203">
        <v>300.94</v>
      </c>
      <c r="O203" t="b">
        <v>1</v>
      </c>
      <c r="P203" t="b">
        <v>1</v>
      </c>
      <c r="Q203" t="b">
        <v>1</v>
      </c>
      <c r="R203">
        <v>59.57</v>
      </c>
      <c r="S203" t="b">
        <v>0</v>
      </c>
      <c r="T203" t="b">
        <v>0</v>
      </c>
      <c r="U203">
        <v>4.6683</v>
      </c>
      <c r="V203">
        <v>5.3869</v>
      </c>
      <c r="W203" t="b">
        <v>0</v>
      </c>
      <c r="X203" t="b">
        <v>1</v>
      </c>
      <c r="Y203">
        <v>900500</v>
      </c>
      <c r="Z203">
        <v>1188035</v>
      </c>
      <c r="AA203" t="b">
        <v>0</v>
      </c>
      <c r="AB203">
        <v>312.33</v>
      </c>
      <c r="AC203">
        <v>322.82</v>
      </c>
      <c r="AD203">
        <v>301.83</v>
      </c>
      <c r="AE203">
        <v>0.5649999999999999</v>
      </c>
      <c r="AF203">
        <v>0.067</v>
      </c>
      <c r="AG203">
        <v>322.5</v>
      </c>
      <c r="AH203">
        <v>293.95</v>
      </c>
      <c r="AI203" t="b">
        <v>0</v>
      </c>
      <c r="AJ203">
        <v>3.639</v>
      </c>
      <c r="AK203">
        <v>308.23</v>
      </c>
      <c r="AL203">
        <v>312.21</v>
      </c>
      <c r="AM203">
        <v>301.83</v>
      </c>
      <c r="AN203">
        <v>279.18</v>
      </c>
      <c r="AO203">
        <v>312.21</v>
      </c>
      <c r="AP203" t="s">
        <v>282</v>
      </c>
      <c r="AQ203">
        <v>279.18</v>
      </c>
      <c r="AR203">
        <v>345.06</v>
      </c>
      <c r="AS203">
        <v>0.05</v>
      </c>
      <c r="AT203">
        <v>0.07000000000000001</v>
      </c>
      <c r="AU203">
        <v>60</v>
      </c>
      <c r="AV203">
        <v>0.9090117455614837</v>
      </c>
      <c r="AW203">
        <v>3</v>
      </c>
      <c r="AX203">
        <v>5</v>
      </c>
      <c r="AY203">
        <v>28</v>
      </c>
      <c r="AZ203">
        <v>1000</v>
      </c>
      <c r="BA203">
        <v>15000</v>
      </c>
      <c r="BD203">
        <v>21.05</v>
      </c>
      <c r="BE203">
        <v>19.51</v>
      </c>
      <c r="BF203">
        <v>1.91</v>
      </c>
      <c r="BG203">
        <v>0.39</v>
      </c>
      <c r="BH203">
        <v>0.45</v>
      </c>
      <c r="BI203">
        <v>6.69</v>
      </c>
      <c r="BJ203">
        <v>2.44</v>
      </c>
      <c r="BK203">
        <v>7.78</v>
      </c>
      <c r="BM203">
        <v>1.75</v>
      </c>
      <c r="BN203" t="s">
        <v>322</v>
      </c>
      <c r="BO203" t="b">
        <v>0</v>
      </c>
      <c r="BP203" s="1">
        <f>IFERROR(RANK.EQ(AX203,AX$2:AX$213,0),"")</f>
        <v>0</v>
      </c>
      <c r="BQ203">
        <f>IFERROR(Y203/Z203,"")</f>
        <v>0</v>
      </c>
      <c r="BR203">
        <f>IFERROR(U203-V203,"")</f>
        <v>0</v>
      </c>
      <c r="BS203">
        <f>IFERROR(U203&gt;V203,"")</f>
        <v>0</v>
      </c>
      <c r="BT203">
        <f>IF(AND(ISNUMBER(D203),ISNUMBER(H203),D203&gt;=H203), OR(O203=TRUE,P203=TRUE), FALSE)</f>
        <v>0</v>
      </c>
      <c r="BU203">
        <f>AND(ISNUMBER(R203), R203&gt;=45, R203&lt;=60, W203=TRUE, E203&gt;=-20)</f>
        <v>0</v>
      </c>
      <c r="BV203">
        <f>OR(AI203=TRUE,AA203=TRUE)</f>
        <v>0</v>
      </c>
      <c r="BW203">
        <f>IFERROR( (AR203-D203) / MAX(D203-AQ203,1E-9) ,"")</f>
        <v>0</v>
      </c>
      <c r="BX203">
        <f>IFERROR(BW203&gt;=2, FALSE)</f>
        <v>0</v>
      </c>
      <c r="BY203" s="1">
        <f>IFERROR(ROUNDDOWN(MIN(IF(BA203&gt;0, BA203/D203, 1E99),IF(AZ203&gt;0, AZ203/MAX(D203-AQ203,1E-9), 1E99)),0),"")</f>
        <v>0</v>
      </c>
      <c r="BZ203" s="2">
        <f>IF(AND(ISNUMBER(D203),ISNUMBER(AT203)), D203*(1-AT203), "")</f>
        <v>0</v>
      </c>
      <c r="CA203">
        <f>AND(BT203=TRUE,BU203=TRUE,BV203=TRUE,BX203=TRUE)</f>
        <v>0</v>
      </c>
    </row>
    <row r="204" spans="1:79" x14ac:dyDescent="0.25">
      <c r="A204" t="s">
        <v>269</v>
      </c>
      <c r="B204">
        <f>HYPERLINK("data/charts/AZO.png", "Open")</f>
        <v>0</v>
      </c>
      <c r="C204" t="s">
        <v>279</v>
      </c>
      <c r="D204">
        <v>4006.91</v>
      </c>
      <c r="E204">
        <v>-2.14</v>
      </c>
      <c r="F204">
        <v>38.24</v>
      </c>
      <c r="G204">
        <v>13.6</v>
      </c>
      <c r="H204">
        <v>3527.06</v>
      </c>
      <c r="I204">
        <v>0.0897</v>
      </c>
      <c r="J204" t="b">
        <v>1</v>
      </c>
      <c r="K204">
        <v>3772.47</v>
      </c>
      <c r="L204">
        <v>3914.92</v>
      </c>
      <c r="M204">
        <v>3923.83</v>
      </c>
      <c r="N204">
        <v>3824.35</v>
      </c>
      <c r="O204" t="b">
        <v>1</v>
      </c>
      <c r="P204" t="b">
        <v>1</v>
      </c>
      <c r="Q204" t="b">
        <v>1</v>
      </c>
      <c r="R204">
        <v>60.61</v>
      </c>
      <c r="S204" t="b">
        <v>0</v>
      </c>
      <c r="T204" t="b">
        <v>0</v>
      </c>
      <c r="U204">
        <v>77.7247</v>
      </c>
      <c r="V204">
        <v>74.7381</v>
      </c>
      <c r="W204" t="b">
        <v>0</v>
      </c>
      <c r="X204" t="b">
        <v>1</v>
      </c>
      <c r="Y204">
        <v>100200</v>
      </c>
      <c r="Z204">
        <v>112485</v>
      </c>
      <c r="AA204" t="b">
        <v>0</v>
      </c>
      <c r="AB204">
        <v>3914.92</v>
      </c>
      <c r="AC204">
        <v>4142.36</v>
      </c>
      <c r="AD204">
        <v>3687.48</v>
      </c>
      <c r="AE204">
        <v>0.702</v>
      </c>
      <c r="AF204">
        <v>0.116</v>
      </c>
      <c r="AG204">
        <v>4094.69</v>
      </c>
      <c r="AH204">
        <v>3705.35</v>
      </c>
      <c r="AI204" t="b">
        <v>0</v>
      </c>
      <c r="AJ204">
        <v>69.544</v>
      </c>
      <c r="AK204">
        <v>3902.59</v>
      </c>
      <c r="AL204">
        <v>3974.09</v>
      </c>
      <c r="AM204">
        <v>3687.48</v>
      </c>
      <c r="AN204">
        <v>3566.15</v>
      </c>
      <c r="AO204">
        <v>3974.09</v>
      </c>
      <c r="AP204" t="s">
        <v>282</v>
      </c>
      <c r="AQ204">
        <v>3566.15</v>
      </c>
      <c r="AR204">
        <v>4407.6</v>
      </c>
      <c r="AS204">
        <v>0.05</v>
      </c>
      <c r="AT204">
        <v>0.07000000000000001</v>
      </c>
      <c r="AU204">
        <v>60</v>
      </c>
      <c r="AV204">
        <v>0.9090892272235361</v>
      </c>
      <c r="AW204">
        <v>3</v>
      </c>
      <c r="AX204">
        <v>5</v>
      </c>
      <c r="AY204">
        <v>2</v>
      </c>
      <c r="AZ204">
        <v>1000</v>
      </c>
      <c r="BA204">
        <v>15000</v>
      </c>
      <c r="BD204">
        <v>27.17</v>
      </c>
      <c r="BE204">
        <v>22.99</v>
      </c>
      <c r="BG204">
        <v>0</v>
      </c>
      <c r="BH204">
        <v>-3.07</v>
      </c>
      <c r="BI204">
        <v>12.96</v>
      </c>
      <c r="BJ204">
        <v>25.02</v>
      </c>
      <c r="BK204">
        <v>13.63</v>
      </c>
      <c r="BM204">
        <v>-4.12</v>
      </c>
      <c r="BN204" t="s">
        <v>285</v>
      </c>
      <c r="BO204" t="b">
        <v>0</v>
      </c>
      <c r="BP204" s="1">
        <f>IFERROR(RANK.EQ(AX204,AX$2:AX$213,0),"")</f>
        <v>0</v>
      </c>
      <c r="BQ204">
        <f>IFERROR(Y204/Z204,"")</f>
        <v>0</v>
      </c>
      <c r="BR204">
        <f>IFERROR(U204-V204,"")</f>
        <v>0</v>
      </c>
      <c r="BS204">
        <f>IFERROR(U204&gt;V204,"")</f>
        <v>0</v>
      </c>
      <c r="BT204">
        <f>IF(AND(ISNUMBER(D204),ISNUMBER(H204),D204&gt;=H204), OR(O204=TRUE,P204=TRUE), FALSE)</f>
        <v>0</v>
      </c>
      <c r="BU204">
        <f>AND(ISNUMBER(R204), R204&gt;=45, R204&lt;=60, W204=TRUE, E204&gt;=-20)</f>
        <v>0</v>
      </c>
      <c r="BV204">
        <f>OR(AI204=TRUE,AA204=TRUE)</f>
        <v>0</v>
      </c>
      <c r="BW204">
        <f>IFERROR( (AR204-D204) / MAX(D204-AQ204,1E-9) ,"")</f>
        <v>0</v>
      </c>
      <c r="BX204">
        <f>IFERROR(BW204&gt;=2, FALSE)</f>
        <v>0</v>
      </c>
      <c r="BY204" s="1">
        <f>IFERROR(ROUNDDOWN(MIN(IF(BA204&gt;0, BA204/D204, 1E99),IF(AZ204&gt;0, AZ204/MAX(D204-AQ204,1E-9), 1E99)),0),"")</f>
        <v>0</v>
      </c>
      <c r="BZ204" s="2">
        <f>IF(AND(ISNUMBER(D204),ISNUMBER(AT204)), D204*(1-AT204), "")</f>
        <v>0</v>
      </c>
      <c r="CA204">
        <f>AND(BT204=TRUE,BU204=TRUE,BV204=TRUE,BX204=TRUE)</f>
        <v>0</v>
      </c>
    </row>
    <row r="205" spans="1:79" x14ac:dyDescent="0.25">
      <c r="A205" t="s">
        <v>270</v>
      </c>
      <c r="B205">
        <f>HYPERLINK("data/charts/AFL.png", "Open")</f>
        <v>0</v>
      </c>
      <c r="C205" t="s">
        <v>279</v>
      </c>
      <c r="D205">
        <v>105.38</v>
      </c>
      <c r="E205">
        <v>-8.76</v>
      </c>
      <c r="F205">
        <v>8.699999999999999</v>
      </c>
      <c r="G205">
        <v>-0.04</v>
      </c>
      <c r="H205">
        <v>105.42</v>
      </c>
      <c r="I205">
        <v>-0.0384</v>
      </c>
      <c r="J205" t="b">
        <v>0</v>
      </c>
      <c r="K205">
        <v>102.54</v>
      </c>
      <c r="L205">
        <v>102</v>
      </c>
      <c r="M205">
        <v>102.72</v>
      </c>
      <c r="N205">
        <v>102.87</v>
      </c>
      <c r="O205" t="b">
        <v>1</v>
      </c>
      <c r="P205" t="b">
        <v>1</v>
      </c>
      <c r="Q205" t="b">
        <v>1</v>
      </c>
      <c r="R205">
        <v>61.09</v>
      </c>
      <c r="S205" t="b">
        <v>0</v>
      </c>
      <c r="T205" t="b">
        <v>0</v>
      </c>
      <c r="U205">
        <v>0.6823</v>
      </c>
      <c r="V205">
        <v>0.0181</v>
      </c>
      <c r="W205" t="b">
        <v>0</v>
      </c>
      <c r="X205" t="b">
        <v>1</v>
      </c>
      <c r="Y205">
        <v>2645900</v>
      </c>
      <c r="Z205">
        <v>2485920</v>
      </c>
      <c r="AA205" t="b">
        <v>0</v>
      </c>
      <c r="AB205">
        <v>102</v>
      </c>
      <c r="AC205">
        <v>106.64</v>
      </c>
      <c r="AD205">
        <v>97.36</v>
      </c>
      <c r="AE205">
        <v>0.865</v>
      </c>
      <c r="AF205">
        <v>0.091</v>
      </c>
      <c r="AG205">
        <v>106.16</v>
      </c>
      <c r="AH205">
        <v>96.95</v>
      </c>
      <c r="AI205" t="b">
        <v>0</v>
      </c>
      <c r="AJ205">
        <v>1.921</v>
      </c>
      <c r="AK205">
        <v>102.5</v>
      </c>
      <c r="AL205">
        <v>97.47</v>
      </c>
      <c r="AM205">
        <v>97.36</v>
      </c>
      <c r="AN205">
        <v>93.79000000000001</v>
      </c>
      <c r="AO205">
        <v>102.5</v>
      </c>
      <c r="AP205" t="s">
        <v>280</v>
      </c>
      <c r="AQ205">
        <v>93.79000000000001</v>
      </c>
      <c r="AR205">
        <v>115.92</v>
      </c>
      <c r="AS205">
        <v>0.05</v>
      </c>
      <c r="AT205">
        <v>0.07000000000000001</v>
      </c>
      <c r="AU205">
        <v>60</v>
      </c>
      <c r="AV205">
        <v>0.9094051116771162</v>
      </c>
      <c r="AW205">
        <v>3</v>
      </c>
      <c r="AX205">
        <v>5</v>
      </c>
      <c r="AY205">
        <v>86</v>
      </c>
      <c r="AZ205">
        <v>1000</v>
      </c>
      <c r="BA205">
        <v>15000</v>
      </c>
      <c r="BD205">
        <v>23.73</v>
      </c>
      <c r="BE205">
        <v>14.7</v>
      </c>
      <c r="BF205">
        <v>2.2</v>
      </c>
      <c r="BG205">
        <v>0.49</v>
      </c>
      <c r="BH205">
        <v>0.33</v>
      </c>
      <c r="BI205">
        <v>22.15</v>
      </c>
      <c r="BJ205">
        <v>2140</v>
      </c>
      <c r="BK205">
        <v>14.2</v>
      </c>
      <c r="BM205">
        <v>-0.36</v>
      </c>
      <c r="BN205" t="s">
        <v>285</v>
      </c>
      <c r="BO205" t="b">
        <v>0</v>
      </c>
      <c r="BP205" s="1">
        <f>IFERROR(RANK.EQ(AX205,AX$2:AX$213,0),"")</f>
        <v>0</v>
      </c>
      <c r="BQ205">
        <f>IFERROR(Y205/Z205,"")</f>
        <v>0</v>
      </c>
      <c r="BR205">
        <f>IFERROR(U205-V205,"")</f>
        <v>0</v>
      </c>
      <c r="BS205">
        <f>IFERROR(U205&gt;V205,"")</f>
        <v>0</v>
      </c>
      <c r="BT205">
        <f>IF(AND(ISNUMBER(D205),ISNUMBER(H205),D205&gt;=H205), OR(O205=TRUE,P205=TRUE), FALSE)</f>
        <v>0</v>
      </c>
      <c r="BU205">
        <f>AND(ISNUMBER(R205), R205&gt;=45, R205&lt;=60, W205=TRUE, E205&gt;=-20)</f>
        <v>0</v>
      </c>
      <c r="BV205">
        <f>OR(AI205=TRUE,AA205=TRUE)</f>
        <v>0</v>
      </c>
      <c r="BW205">
        <f>IFERROR( (AR205-D205) / MAX(D205-AQ205,1E-9) ,"")</f>
        <v>0</v>
      </c>
      <c r="BX205">
        <f>IFERROR(BW205&gt;=2, FALSE)</f>
        <v>0</v>
      </c>
      <c r="BY205" s="1">
        <f>IFERROR(ROUNDDOWN(MIN(IF(BA205&gt;0, BA205/D205, 1E99),IF(AZ205&gt;0, AZ205/MAX(D205-AQ205,1E-9), 1E99)),0),"")</f>
        <v>0</v>
      </c>
      <c r="BZ205" s="2">
        <f>IF(AND(ISNUMBER(D205),ISNUMBER(AT205)), D205*(1-AT205), "")</f>
        <v>0</v>
      </c>
      <c r="CA205">
        <f>AND(BT205=TRUE,BU205=TRUE,BV205=TRUE,BX205=TRUE)</f>
        <v>0</v>
      </c>
    </row>
    <row r="206" spans="1:79" x14ac:dyDescent="0.25">
      <c r="A206" t="s">
        <v>271</v>
      </c>
      <c r="B206">
        <f>HYPERLINK("data/charts/KDP.png", "Open")</f>
        <v>0</v>
      </c>
      <c r="C206" t="s">
        <v>279</v>
      </c>
      <c r="D206">
        <v>34.78</v>
      </c>
      <c r="E206">
        <v>-9.140000000000001</v>
      </c>
      <c r="F206">
        <v>15.47</v>
      </c>
      <c r="G206">
        <v>4.9</v>
      </c>
      <c r="H206">
        <v>33.16</v>
      </c>
      <c r="I206">
        <v>-0.0531</v>
      </c>
      <c r="J206" t="b">
        <v>0</v>
      </c>
      <c r="K206">
        <v>33.48</v>
      </c>
      <c r="L206">
        <v>33.8</v>
      </c>
      <c r="M206">
        <v>33.98</v>
      </c>
      <c r="N206">
        <v>33.7</v>
      </c>
      <c r="O206" t="b">
        <v>1</v>
      </c>
      <c r="P206" t="b">
        <v>1</v>
      </c>
      <c r="Q206" t="b">
        <v>1</v>
      </c>
      <c r="R206">
        <v>62.1</v>
      </c>
      <c r="S206" t="b">
        <v>0</v>
      </c>
      <c r="T206" t="b">
        <v>0</v>
      </c>
      <c r="U206">
        <v>0.3497</v>
      </c>
      <c r="V206">
        <v>0.206</v>
      </c>
      <c r="W206" t="b">
        <v>0</v>
      </c>
      <c r="X206" t="b">
        <v>1</v>
      </c>
      <c r="Y206">
        <v>6248200</v>
      </c>
      <c r="Z206">
        <v>9725895</v>
      </c>
      <c r="AA206" t="b">
        <v>0</v>
      </c>
      <c r="AB206">
        <v>33.8</v>
      </c>
      <c r="AC206">
        <v>35.09</v>
      </c>
      <c r="AD206">
        <v>32.51</v>
      </c>
      <c r="AE206">
        <v>0.879</v>
      </c>
      <c r="AF206">
        <v>0.076</v>
      </c>
      <c r="AG206">
        <v>34.99</v>
      </c>
      <c r="AH206">
        <v>32.55</v>
      </c>
      <c r="AI206" t="b">
        <v>0</v>
      </c>
      <c r="AJ206">
        <v>0.58</v>
      </c>
      <c r="AK206">
        <v>33.91</v>
      </c>
      <c r="AL206">
        <v>32.55</v>
      </c>
      <c r="AM206">
        <v>32.51</v>
      </c>
      <c r="AN206">
        <v>30.95</v>
      </c>
      <c r="AO206">
        <v>33.91</v>
      </c>
      <c r="AP206" t="s">
        <v>280</v>
      </c>
      <c r="AQ206">
        <v>30.95</v>
      </c>
      <c r="AR206">
        <v>38.26</v>
      </c>
      <c r="AS206">
        <v>0.05</v>
      </c>
      <c r="AT206">
        <v>0.07000000000000001</v>
      </c>
      <c r="AU206">
        <v>60</v>
      </c>
      <c r="AV206">
        <v>0.908616796306654</v>
      </c>
      <c r="AW206">
        <v>3</v>
      </c>
      <c r="AX206">
        <v>5</v>
      </c>
      <c r="AY206">
        <v>261</v>
      </c>
      <c r="AZ206">
        <v>1000</v>
      </c>
      <c r="BA206">
        <v>15000</v>
      </c>
      <c r="BD206">
        <v>30.78</v>
      </c>
      <c r="BE206">
        <v>16.97</v>
      </c>
      <c r="BF206">
        <v>2.65</v>
      </c>
      <c r="BG206">
        <v>0.8100000000000001</v>
      </c>
      <c r="BH206">
        <v>0.7</v>
      </c>
      <c r="BI206">
        <v>14.53</v>
      </c>
      <c r="BJ206">
        <v>5.26</v>
      </c>
      <c r="BK206">
        <v>13.14</v>
      </c>
      <c r="BM206">
        <v>4.96</v>
      </c>
      <c r="BN206" t="s">
        <v>285</v>
      </c>
      <c r="BO206" t="b">
        <v>0</v>
      </c>
      <c r="BP206" s="1">
        <f>IFERROR(RANK.EQ(AX206,AX$2:AX$213,0),"")</f>
        <v>0</v>
      </c>
      <c r="BQ206">
        <f>IFERROR(Y206/Z206,"")</f>
        <v>0</v>
      </c>
      <c r="BR206">
        <f>IFERROR(U206-V206,"")</f>
        <v>0</v>
      </c>
      <c r="BS206">
        <f>IFERROR(U206&gt;V206,"")</f>
        <v>0</v>
      </c>
      <c r="BT206">
        <f>IF(AND(ISNUMBER(D206),ISNUMBER(H206),D206&gt;=H206), OR(O206=TRUE,P206=TRUE), FALSE)</f>
        <v>0</v>
      </c>
      <c r="BU206">
        <f>AND(ISNUMBER(R206), R206&gt;=45, R206&lt;=60, W206=TRUE, E206&gt;=-20)</f>
        <v>0</v>
      </c>
      <c r="BV206">
        <f>OR(AI206=TRUE,AA206=TRUE)</f>
        <v>0</v>
      </c>
      <c r="BW206">
        <f>IFERROR( (AR206-D206) / MAX(D206-AQ206,1E-9) ,"")</f>
        <v>0</v>
      </c>
      <c r="BX206">
        <f>IFERROR(BW206&gt;=2, FALSE)</f>
        <v>0</v>
      </c>
      <c r="BY206" s="1">
        <f>IFERROR(ROUNDDOWN(MIN(IF(BA206&gt;0, BA206/D206, 1E99),IF(AZ206&gt;0, AZ206/MAX(D206-AQ206,1E-9), 1E99)),0),"")</f>
        <v>0</v>
      </c>
      <c r="BZ206" s="2">
        <f>IF(AND(ISNUMBER(D206),ISNUMBER(AT206)), D206*(1-AT206), "")</f>
        <v>0</v>
      </c>
      <c r="CA206">
        <f>AND(BT206=TRUE,BU206=TRUE,BV206=TRUE,BX206=TRUE)</f>
        <v>0</v>
      </c>
    </row>
    <row r="207" spans="1:79" x14ac:dyDescent="0.25">
      <c r="A207" t="s">
        <v>272</v>
      </c>
      <c r="B207">
        <f>HYPERLINK("data/charts/LUN_TO.png", "Open")</f>
        <v>0</v>
      </c>
      <c r="C207" t="s">
        <v>279</v>
      </c>
      <c r="D207">
        <v>15.66</v>
      </c>
      <c r="E207">
        <v>-2.55</v>
      </c>
      <c r="F207">
        <v>75.17</v>
      </c>
      <c r="G207">
        <v>21.19</v>
      </c>
      <c r="H207">
        <v>12.92</v>
      </c>
      <c r="I207">
        <v>0.0279</v>
      </c>
      <c r="J207" t="b">
        <v>1</v>
      </c>
      <c r="K207">
        <v>14.33</v>
      </c>
      <c r="L207">
        <v>14.59</v>
      </c>
      <c r="M207">
        <v>14.84</v>
      </c>
      <c r="N207">
        <v>14.24</v>
      </c>
      <c r="O207" t="b">
        <v>1</v>
      </c>
      <c r="P207" t="b">
        <v>1</v>
      </c>
      <c r="Q207" t="b">
        <v>1</v>
      </c>
      <c r="R207">
        <v>63.1</v>
      </c>
      <c r="S207" t="b">
        <v>0</v>
      </c>
      <c r="T207" t="b">
        <v>0</v>
      </c>
      <c r="U207">
        <v>0.4708</v>
      </c>
      <c r="V207">
        <v>0.3252</v>
      </c>
      <c r="W207" t="b">
        <v>0</v>
      </c>
      <c r="X207" t="b">
        <v>1</v>
      </c>
      <c r="Y207">
        <v>1961600</v>
      </c>
      <c r="Z207">
        <v>2168175</v>
      </c>
      <c r="AA207" t="b">
        <v>0</v>
      </c>
      <c r="AB207">
        <v>14.59</v>
      </c>
      <c r="AC207">
        <v>16.25</v>
      </c>
      <c r="AD207">
        <v>12.93</v>
      </c>
      <c r="AE207">
        <v>0.822</v>
      </c>
      <c r="AF207">
        <v>0.228</v>
      </c>
      <c r="AG207">
        <v>16.07</v>
      </c>
      <c r="AH207">
        <v>13.37</v>
      </c>
      <c r="AI207" t="b">
        <v>0</v>
      </c>
      <c r="AJ207">
        <v>0.472</v>
      </c>
      <c r="AK207">
        <v>14.95</v>
      </c>
      <c r="AL207">
        <v>13.37</v>
      </c>
      <c r="AM207">
        <v>12.93</v>
      </c>
      <c r="AN207">
        <v>13.94</v>
      </c>
      <c r="AO207">
        <v>14.95</v>
      </c>
      <c r="AP207" t="s">
        <v>280</v>
      </c>
      <c r="AQ207">
        <v>13.94</v>
      </c>
      <c r="AR207">
        <v>17.23</v>
      </c>
      <c r="AS207">
        <v>0.05</v>
      </c>
      <c r="AT207">
        <v>0.07000000000000001</v>
      </c>
      <c r="AU207">
        <v>60</v>
      </c>
      <c r="AV207">
        <v>0.9127908673655369</v>
      </c>
      <c r="AW207">
        <v>3</v>
      </c>
      <c r="AX207">
        <v>5</v>
      </c>
      <c r="AY207">
        <v>581</v>
      </c>
      <c r="AZ207">
        <v>1000</v>
      </c>
      <c r="BA207">
        <v>15000</v>
      </c>
      <c r="BD207">
        <v>71.18000000000001</v>
      </c>
      <c r="BE207">
        <v>15.35</v>
      </c>
      <c r="BF207">
        <v>70</v>
      </c>
      <c r="BG207">
        <v>1.34</v>
      </c>
      <c r="BH207">
        <v>0.1</v>
      </c>
      <c r="BI207">
        <v>-2.77</v>
      </c>
      <c r="BJ207">
        <v>80</v>
      </c>
      <c r="BK207">
        <v>24.38</v>
      </c>
      <c r="BM207">
        <v>0.8100000000000001</v>
      </c>
      <c r="BN207" t="s">
        <v>287</v>
      </c>
      <c r="BO207" t="b">
        <v>0</v>
      </c>
      <c r="BP207" s="1">
        <f>IFERROR(RANK.EQ(AX207,AX$2:AX$213,0),"")</f>
        <v>0</v>
      </c>
      <c r="BQ207">
        <f>IFERROR(Y207/Z207,"")</f>
        <v>0</v>
      </c>
      <c r="BR207">
        <f>IFERROR(U207-V207,"")</f>
        <v>0</v>
      </c>
      <c r="BS207">
        <f>IFERROR(U207&gt;V207,"")</f>
        <v>0</v>
      </c>
      <c r="BT207">
        <f>IF(AND(ISNUMBER(D207),ISNUMBER(H207),D207&gt;=H207), OR(O207=TRUE,P207=TRUE), FALSE)</f>
        <v>0</v>
      </c>
      <c r="BU207">
        <f>AND(ISNUMBER(R207), R207&gt;=45, R207&lt;=60, W207=TRUE, E207&gt;=-20)</f>
        <v>0</v>
      </c>
      <c r="BV207">
        <f>OR(AI207=TRUE,AA207=TRUE)</f>
        <v>0</v>
      </c>
      <c r="BW207">
        <f>IFERROR( (AR207-D207) / MAX(D207-AQ207,1E-9) ,"")</f>
        <v>0</v>
      </c>
      <c r="BX207">
        <f>IFERROR(BW207&gt;=2, FALSE)</f>
        <v>0</v>
      </c>
      <c r="BY207" s="1">
        <f>IFERROR(ROUNDDOWN(MIN(IF(BA207&gt;0, BA207/D207, 1E99),IF(AZ207&gt;0, AZ207/MAX(D207-AQ207,1E-9), 1E99)),0),"")</f>
        <v>0</v>
      </c>
      <c r="BZ207" s="2">
        <f>IF(AND(ISNUMBER(D207),ISNUMBER(AT207)), D207*(1-AT207), "")</f>
        <v>0</v>
      </c>
      <c r="CA207">
        <f>AND(BT207=TRUE,BU207=TRUE,BV207=TRUE,BX207=TRUE)</f>
        <v>0</v>
      </c>
    </row>
    <row r="208" spans="1:79" x14ac:dyDescent="0.25">
      <c r="A208" t="s">
        <v>273</v>
      </c>
      <c r="B208">
        <f>HYPERLINK("data/charts/PAAS_TO.png", "Open")</f>
        <v>0</v>
      </c>
      <c r="C208" t="s">
        <v>279</v>
      </c>
      <c r="D208">
        <v>43.85</v>
      </c>
      <c r="E208">
        <v>-1.28</v>
      </c>
      <c r="F208">
        <v>74.56</v>
      </c>
      <c r="G208">
        <v>24.95</v>
      </c>
      <c r="H208">
        <v>35.09</v>
      </c>
      <c r="I208">
        <v>0.1548</v>
      </c>
      <c r="J208" t="b">
        <v>1</v>
      </c>
      <c r="K208">
        <v>40.07</v>
      </c>
      <c r="L208">
        <v>40.84</v>
      </c>
      <c r="M208">
        <v>41.41</v>
      </c>
      <c r="N208">
        <v>39.8</v>
      </c>
      <c r="O208" t="b">
        <v>1</v>
      </c>
      <c r="P208" t="b">
        <v>1</v>
      </c>
      <c r="Q208" t="b">
        <v>1</v>
      </c>
      <c r="R208">
        <v>64.88</v>
      </c>
      <c r="S208" t="b">
        <v>0</v>
      </c>
      <c r="T208" t="b">
        <v>0</v>
      </c>
      <c r="U208">
        <v>1.2329</v>
      </c>
      <c r="V208">
        <v>0.8429</v>
      </c>
      <c r="W208" t="b">
        <v>0</v>
      </c>
      <c r="X208" t="b">
        <v>1</v>
      </c>
      <c r="Y208">
        <v>778400</v>
      </c>
      <c r="Z208">
        <v>1050235</v>
      </c>
      <c r="AA208" t="b">
        <v>0</v>
      </c>
      <c r="AB208">
        <v>40.84</v>
      </c>
      <c r="AC208">
        <v>45.39</v>
      </c>
      <c r="AD208">
        <v>36.3</v>
      </c>
      <c r="AE208">
        <v>0.831</v>
      </c>
      <c r="AF208">
        <v>0.223</v>
      </c>
      <c r="AG208">
        <v>44.42</v>
      </c>
      <c r="AH208">
        <v>36.96</v>
      </c>
      <c r="AI208" t="b">
        <v>0</v>
      </c>
      <c r="AJ208">
        <v>1.253</v>
      </c>
      <c r="AK208">
        <v>41.97</v>
      </c>
      <c r="AL208">
        <v>36.96</v>
      </c>
      <c r="AM208">
        <v>36.3</v>
      </c>
      <c r="AN208">
        <v>39.03</v>
      </c>
      <c r="AO208">
        <v>41.97</v>
      </c>
      <c r="AP208" t="s">
        <v>280</v>
      </c>
      <c r="AQ208">
        <v>39.03</v>
      </c>
      <c r="AR208">
        <v>48.23</v>
      </c>
      <c r="AS208">
        <v>0.05</v>
      </c>
      <c r="AT208">
        <v>0.07000000000000001</v>
      </c>
      <c r="AU208">
        <v>60</v>
      </c>
      <c r="AV208">
        <v>0.9087142971922991</v>
      </c>
      <c r="AW208">
        <v>3</v>
      </c>
      <c r="AX208">
        <v>5</v>
      </c>
      <c r="AY208">
        <v>207</v>
      </c>
      <c r="AZ208">
        <v>1000</v>
      </c>
      <c r="BA208">
        <v>15000</v>
      </c>
      <c r="BD208">
        <v>21.93</v>
      </c>
      <c r="BE208">
        <v>25.06</v>
      </c>
      <c r="BF208">
        <v>1.51</v>
      </c>
      <c r="BG208">
        <v>0.28</v>
      </c>
      <c r="BH208">
        <v>0.17</v>
      </c>
      <c r="BI208">
        <v>5.01</v>
      </c>
      <c r="BJ208">
        <v>10.64</v>
      </c>
      <c r="BK208">
        <v>23.3</v>
      </c>
      <c r="BM208">
        <v>0.44</v>
      </c>
      <c r="BN208" t="s">
        <v>285</v>
      </c>
      <c r="BO208" t="b">
        <v>0</v>
      </c>
      <c r="BP208" s="1">
        <f>IFERROR(RANK.EQ(AX208,AX$2:AX$213,0),"")</f>
        <v>0</v>
      </c>
      <c r="BQ208">
        <f>IFERROR(Y208/Z208,"")</f>
        <v>0</v>
      </c>
      <c r="BR208">
        <f>IFERROR(U208-V208,"")</f>
        <v>0</v>
      </c>
      <c r="BS208">
        <f>IFERROR(U208&gt;V208,"")</f>
        <v>0</v>
      </c>
      <c r="BT208">
        <f>IF(AND(ISNUMBER(D208),ISNUMBER(H208),D208&gt;=H208), OR(O208=TRUE,P208=TRUE), FALSE)</f>
        <v>0</v>
      </c>
      <c r="BU208">
        <f>AND(ISNUMBER(R208), R208&gt;=45, R208&lt;=60, W208=TRUE, E208&gt;=-20)</f>
        <v>0</v>
      </c>
      <c r="BV208">
        <f>OR(AI208=TRUE,AA208=TRUE)</f>
        <v>0</v>
      </c>
      <c r="BW208">
        <f>IFERROR( (AR208-D208) / MAX(D208-AQ208,1E-9) ,"")</f>
        <v>0</v>
      </c>
      <c r="BX208">
        <f>IFERROR(BW208&gt;=2, FALSE)</f>
        <v>0</v>
      </c>
      <c r="BY208" s="1">
        <f>IFERROR(ROUNDDOWN(MIN(IF(BA208&gt;0, BA208/D208, 1E99),IF(AZ208&gt;0, AZ208/MAX(D208-AQ208,1E-9), 1E99)),0),"")</f>
        <v>0</v>
      </c>
      <c r="BZ208" s="2">
        <f>IF(AND(ISNUMBER(D208),ISNUMBER(AT208)), D208*(1-AT208), "")</f>
        <v>0</v>
      </c>
      <c r="CA208">
        <f>AND(BT208=TRUE,BU208=TRUE,BV208=TRUE,BX208=TRUE)</f>
        <v>0</v>
      </c>
    </row>
    <row r="209" spans="1:79" x14ac:dyDescent="0.25">
      <c r="A209" t="s">
        <v>274</v>
      </c>
      <c r="B209">
        <f>HYPERLINK("data/charts/ELD_TO.png", "Open")</f>
        <v>0</v>
      </c>
      <c r="C209" t="s">
        <v>279</v>
      </c>
      <c r="D209">
        <v>31.56</v>
      </c>
      <c r="E209">
        <v>-2.59</v>
      </c>
      <c r="F209">
        <v>66.63</v>
      </c>
      <c r="G209">
        <v>27.95</v>
      </c>
      <c r="H209">
        <v>24.67</v>
      </c>
      <c r="I209">
        <v>0.09710000000000001</v>
      </c>
      <c r="J209" t="b">
        <v>1</v>
      </c>
      <c r="K209">
        <v>28.84</v>
      </c>
      <c r="L209">
        <v>29.66</v>
      </c>
      <c r="M209">
        <v>29.99</v>
      </c>
      <c r="N209">
        <v>28.85</v>
      </c>
      <c r="O209" t="b">
        <v>1</v>
      </c>
      <c r="P209" t="b">
        <v>1</v>
      </c>
      <c r="Q209" t="b">
        <v>1</v>
      </c>
      <c r="R209">
        <v>65.84</v>
      </c>
      <c r="S209" t="b">
        <v>0</v>
      </c>
      <c r="T209" t="b">
        <v>0</v>
      </c>
      <c r="U209">
        <v>0.8904</v>
      </c>
      <c r="V209">
        <v>0.7381</v>
      </c>
      <c r="W209" t="b">
        <v>0</v>
      </c>
      <c r="X209" t="b">
        <v>0</v>
      </c>
      <c r="Y209">
        <v>211800</v>
      </c>
      <c r="Z209">
        <v>334295</v>
      </c>
      <c r="AA209" t="b">
        <v>0</v>
      </c>
      <c r="AB209">
        <v>29.66</v>
      </c>
      <c r="AC209">
        <v>32.84</v>
      </c>
      <c r="AD209">
        <v>26.47</v>
      </c>
      <c r="AE209">
        <v>0.799</v>
      </c>
      <c r="AF209">
        <v>0.215</v>
      </c>
      <c r="AG209">
        <v>32.4</v>
      </c>
      <c r="AH209">
        <v>27.02</v>
      </c>
      <c r="AI209" t="b">
        <v>0</v>
      </c>
      <c r="AJ209">
        <v>0.964</v>
      </c>
      <c r="AK209">
        <v>30.11</v>
      </c>
      <c r="AL209">
        <v>29.7</v>
      </c>
      <c r="AM209">
        <v>26.47</v>
      </c>
      <c r="AN209">
        <v>28.09</v>
      </c>
      <c r="AO209">
        <v>30.11</v>
      </c>
      <c r="AP209" t="s">
        <v>280</v>
      </c>
      <c r="AQ209">
        <v>28.09</v>
      </c>
      <c r="AR209">
        <v>34.72</v>
      </c>
      <c r="AS209">
        <v>0.05</v>
      </c>
      <c r="AT209">
        <v>0.07000000000000001</v>
      </c>
      <c r="AU209">
        <v>60</v>
      </c>
      <c r="AV209">
        <v>0.9106631182721011</v>
      </c>
      <c r="AW209">
        <v>3</v>
      </c>
      <c r="AX209">
        <v>5</v>
      </c>
      <c r="AY209">
        <v>288</v>
      </c>
      <c r="AZ209">
        <v>1000</v>
      </c>
      <c r="BA209">
        <v>15000</v>
      </c>
      <c r="BD209">
        <v>11.31</v>
      </c>
      <c r="BE209">
        <v>12.67</v>
      </c>
      <c r="BG209">
        <v>0</v>
      </c>
      <c r="BH209">
        <v>0.29</v>
      </c>
      <c r="BI209">
        <v>27.16</v>
      </c>
      <c r="BJ209">
        <v>91.43000000000001</v>
      </c>
      <c r="BK209">
        <v>30.55</v>
      </c>
      <c r="BM209">
        <v>0.08</v>
      </c>
      <c r="BN209" t="s">
        <v>285</v>
      </c>
      <c r="BO209" t="b">
        <v>0</v>
      </c>
      <c r="BP209" s="1">
        <f>IFERROR(RANK.EQ(AX209,AX$2:AX$213,0),"")</f>
        <v>0</v>
      </c>
      <c r="BQ209">
        <f>IFERROR(Y209/Z209,"")</f>
        <v>0</v>
      </c>
      <c r="BR209">
        <f>IFERROR(U209-V209,"")</f>
        <v>0</v>
      </c>
      <c r="BS209">
        <f>IFERROR(U209&gt;V209,"")</f>
        <v>0</v>
      </c>
      <c r="BT209">
        <f>IF(AND(ISNUMBER(D209),ISNUMBER(H209),D209&gt;=H209), OR(O209=TRUE,P209=TRUE), FALSE)</f>
        <v>0</v>
      </c>
      <c r="BU209">
        <f>AND(ISNUMBER(R209), R209&gt;=45, R209&lt;=60, W209=TRUE, E209&gt;=-20)</f>
        <v>0</v>
      </c>
      <c r="BV209">
        <f>OR(AI209=TRUE,AA209=TRUE)</f>
        <v>0</v>
      </c>
      <c r="BW209">
        <f>IFERROR( (AR209-D209) / MAX(D209-AQ209,1E-9) ,"")</f>
        <v>0</v>
      </c>
      <c r="BX209">
        <f>IFERROR(BW209&gt;=2, FALSE)</f>
        <v>0</v>
      </c>
      <c r="BY209" s="1">
        <f>IFERROR(ROUNDDOWN(MIN(IF(BA209&gt;0, BA209/D209, 1E99),IF(AZ209&gt;0, AZ209/MAX(D209-AQ209,1E-9), 1E99)),0),"")</f>
        <v>0</v>
      </c>
      <c r="BZ209" s="2">
        <f>IF(AND(ISNUMBER(D209),ISNUMBER(AT209)), D209*(1-AT209), "")</f>
        <v>0</v>
      </c>
      <c r="CA209">
        <f>AND(BT209=TRUE,BU209=TRUE,BV209=TRUE,BX209=TRUE)</f>
        <v>0</v>
      </c>
    </row>
    <row r="210" spans="1:79" x14ac:dyDescent="0.25">
      <c r="A210" t="s">
        <v>275</v>
      </c>
      <c r="B210">
        <f>HYPERLINK("data/charts/ALLE.png", "Open")</f>
        <v>0</v>
      </c>
      <c r="C210" t="s">
        <v>279</v>
      </c>
      <c r="D210">
        <v>167.17</v>
      </c>
      <c r="E210">
        <v>-1.73</v>
      </c>
      <c r="F210">
        <v>43.41</v>
      </c>
      <c r="G210">
        <v>20.73</v>
      </c>
      <c r="H210">
        <v>138.46</v>
      </c>
      <c r="I210">
        <v>0.0328</v>
      </c>
      <c r="J210" t="b">
        <v>1</v>
      </c>
      <c r="K210">
        <v>151.65</v>
      </c>
      <c r="L210">
        <v>163.48</v>
      </c>
      <c r="M210">
        <v>162.46</v>
      </c>
      <c r="N210">
        <v>154.66</v>
      </c>
      <c r="O210" t="b">
        <v>1</v>
      </c>
      <c r="P210" t="b">
        <v>1</v>
      </c>
      <c r="Q210" t="b">
        <v>1</v>
      </c>
      <c r="R210">
        <v>65.94</v>
      </c>
      <c r="S210" t="b">
        <v>0</v>
      </c>
      <c r="T210" t="b">
        <v>0</v>
      </c>
      <c r="U210">
        <v>4.5477</v>
      </c>
      <c r="V210">
        <v>4.809</v>
      </c>
      <c r="W210" t="b">
        <v>0</v>
      </c>
      <c r="X210" t="b">
        <v>1</v>
      </c>
      <c r="Y210">
        <v>549900</v>
      </c>
      <c r="Z210">
        <v>1087955</v>
      </c>
      <c r="AA210" t="b">
        <v>0</v>
      </c>
      <c r="AB210">
        <v>163.48</v>
      </c>
      <c r="AC210">
        <v>173.57</v>
      </c>
      <c r="AD210">
        <v>153.4</v>
      </c>
      <c r="AE210">
        <v>0.6830000000000001</v>
      </c>
      <c r="AF210">
        <v>0.123</v>
      </c>
      <c r="AG210">
        <v>170.11</v>
      </c>
      <c r="AH210">
        <v>149.57</v>
      </c>
      <c r="AI210" t="b">
        <v>0</v>
      </c>
      <c r="AJ210">
        <v>2.524</v>
      </c>
      <c r="AK210">
        <v>163.38</v>
      </c>
      <c r="AL210">
        <v>163.06</v>
      </c>
      <c r="AM210">
        <v>153.4</v>
      </c>
      <c r="AN210">
        <v>148.78</v>
      </c>
      <c r="AO210">
        <v>163.38</v>
      </c>
      <c r="AP210" t="s">
        <v>280</v>
      </c>
      <c r="AQ210">
        <v>148.78</v>
      </c>
      <c r="AR210">
        <v>183.89</v>
      </c>
      <c r="AS210">
        <v>0.05</v>
      </c>
      <c r="AT210">
        <v>0.07000000000000001</v>
      </c>
      <c r="AU210">
        <v>60</v>
      </c>
      <c r="AV210">
        <v>0.9091899671468856</v>
      </c>
      <c r="AW210">
        <v>3</v>
      </c>
      <c r="AX210">
        <v>5</v>
      </c>
      <c r="AY210">
        <v>54</v>
      </c>
      <c r="AZ210">
        <v>1000</v>
      </c>
      <c r="BA210">
        <v>15000</v>
      </c>
      <c r="BD210">
        <v>23.19</v>
      </c>
      <c r="BE210">
        <v>21.46</v>
      </c>
      <c r="BF210">
        <v>1.22</v>
      </c>
      <c r="BG210">
        <v>0.28</v>
      </c>
      <c r="BH210">
        <v>1.16</v>
      </c>
      <c r="BI210">
        <v>8.5</v>
      </c>
      <c r="BJ210">
        <v>8.140000000000001</v>
      </c>
      <c r="BK210">
        <v>15.63</v>
      </c>
      <c r="BM210">
        <v>8.279999999999999</v>
      </c>
      <c r="BN210" t="s">
        <v>285</v>
      </c>
      <c r="BO210" t="b">
        <v>0</v>
      </c>
      <c r="BP210" s="1">
        <f>IFERROR(RANK.EQ(AX210,AX$2:AX$213,0),"")</f>
        <v>0</v>
      </c>
      <c r="BQ210">
        <f>IFERROR(Y210/Z210,"")</f>
        <v>0</v>
      </c>
      <c r="BR210">
        <f>IFERROR(U210-V210,"")</f>
        <v>0</v>
      </c>
      <c r="BS210">
        <f>IFERROR(U210&gt;V210,"")</f>
        <v>0</v>
      </c>
      <c r="BT210">
        <f>IF(AND(ISNUMBER(D210),ISNUMBER(H210),D210&gt;=H210), OR(O210=TRUE,P210=TRUE), FALSE)</f>
        <v>0</v>
      </c>
      <c r="BU210">
        <f>AND(ISNUMBER(R210), R210&gt;=45, R210&lt;=60, W210=TRUE, E210&gt;=-20)</f>
        <v>0</v>
      </c>
      <c r="BV210">
        <f>OR(AI210=TRUE,AA210=TRUE)</f>
        <v>0</v>
      </c>
      <c r="BW210">
        <f>IFERROR( (AR210-D210) / MAX(D210-AQ210,1E-9) ,"")</f>
        <v>0</v>
      </c>
      <c r="BX210">
        <f>IFERROR(BW210&gt;=2, FALSE)</f>
        <v>0</v>
      </c>
      <c r="BY210" s="1">
        <f>IFERROR(ROUNDDOWN(MIN(IF(BA210&gt;0, BA210/D210, 1E99),IF(AZ210&gt;0, AZ210/MAX(D210-AQ210,1E-9), 1E99)),0),"")</f>
        <v>0</v>
      </c>
      <c r="BZ210" s="2">
        <f>IF(AND(ISNUMBER(D210),ISNUMBER(AT210)), D210*(1-AT210), "")</f>
        <v>0</v>
      </c>
      <c r="CA210">
        <f>AND(BT210=TRUE,BU210=TRUE,BV210=TRUE,BX210=TRUE)</f>
        <v>0</v>
      </c>
    </row>
    <row r="211" spans="1:79" x14ac:dyDescent="0.25">
      <c r="A211" t="s">
        <v>276</v>
      </c>
      <c r="B211">
        <f>HYPERLINK("data/charts/SOBO_TO.png", "Open")</f>
        <v>0</v>
      </c>
      <c r="C211" t="s">
        <v>279</v>
      </c>
      <c r="D211">
        <v>38.21</v>
      </c>
      <c r="G211">
        <v>7.56</v>
      </c>
      <c r="H211">
        <v>35.53</v>
      </c>
      <c r="I211">
        <v>0.0409</v>
      </c>
      <c r="J211" t="b">
        <v>1</v>
      </c>
      <c r="K211">
        <v>36.35</v>
      </c>
      <c r="L211">
        <v>36.8</v>
      </c>
      <c r="M211">
        <v>37.08</v>
      </c>
      <c r="N211">
        <v>36.49</v>
      </c>
      <c r="O211" t="b">
        <v>1</v>
      </c>
      <c r="P211" t="b">
        <v>1</v>
      </c>
      <c r="Q211" t="b">
        <v>1</v>
      </c>
      <c r="R211">
        <v>66.16</v>
      </c>
      <c r="S211" t="b">
        <v>0</v>
      </c>
      <c r="T211" t="b">
        <v>0</v>
      </c>
      <c r="U211">
        <v>0.6002999999999999</v>
      </c>
      <c r="V211">
        <v>0.4045</v>
      </c>
      <c r="W211" t="b">
        <v>0</v>
      </c>
      <c r="X211" t="b">
        <v>1</v>
      </c>
      <c r="Y211">
        <v>1128500</v>
      </c>
      <c r="Z211">
        <v>802730</v>
      </c>
      <c r="AA211" t="b">
        <v>0</v>
      </c>
      <c r="AB211">
        <v>36.8</v>
      </c>
      <c r="AC211">
        <v>38.8</v>
      </c>
      <c r="AD211">
        <v>34.8</v>
      </c>
      <c r="AE211">
        <v>0.853</v>
      </c>
      <c r="AF211">
        <v>0.108</v>
      </c>
      <c r="AG211">
        <v>38.88</v>
      </c>
      <c r="AH211">
        <v>35.27</v>
      </c>
      <c r="AI211" t="b">
        <v>0</v>
      </c>
      <c r="AJ211">
        <v>0.714</v>
      </c>
      <c r="AK211">
        <v>37.14</v>
      </c>
      <c r="AL211">
        <v>37.45</v>
      </c>
      <c r="AM211">
        <v>34.8</v>
      </c>
      <c r="AN211">
        <v>34.01</v>
      </c>
      <c r="AO211">
        <v>37.45</v>
      </c>
      <c r="AP211" t="s">
        <v>282</v>
      </c>
      <c r="AQ211">
        <v>34.01</v>
      </c>
      <c r="AR211">
        <v>42.03</v>
      </c>
      <c r="AS211">
        <v>0.05</v>
      </c>
      <c r="AT211">
        <v>0.07000000000000001</v>
      </c>
      <c r="AU211">
        <v>60</v>
      </c>
      <c r="AV211">
        <v>0.9095242257670575</v>
      </c>
      <c r="AW211">
        <v>3</v>
      </c>
      <c r="AX211">
        <v>5</v>
      </c>
      <c r="AY211">
        <v>238</v>
      </c>
      <c r="AZ211">
        <v>1000</v>
      </c>
      <c r="BA211">
        <v>15000</v>
      </c>
      <c r="BD211">
        <v>19.3</v>
      </c>
      <c r="BE211">
        <v>17.29</v>
      </c>
      <c r="BF211">
        <v>7.21</v>
      </c>
      <c r="BG211">
        <v>1.04</v>
      </c>
      <c r="BH211">
        <v>2.19</v>
      </c>
      <c r="BI211">
        <v>5.22</v>
      </c>
      <c r="BJ211">
        <v>9.52</v>
      </c>
      <c r="BK211">
        <v>18.32</v>
      </c>
      <c r="BM211">
        <v>2.12</v>
      </c>
      <c r="BN211" t="s">
        <v>313</v>
      </c>
      <c r="BO211" t="b">
        <v>0</v>
      </c>
      <c r="BP211" s="1">
        <f>IFERROR(RANK.EQ(AX211,AX$2:AX$213,0),"")</f>
        <v>0</v>
      </c>
      <c r="BQ211">
        <f>IFERROR(Y211/Z211,"")</f>
        <v>0</v>
      </c>
      <c r="BR211">
        <f>IFERROR(U211-V211,"")</f>
        <v>0</v>
      </c>
      <c r="BS211">
        <f>IFERROR(U211&gt;V211,"")</f>
        <v>0</v>
      </c>
      <c r="BT211">
        <f>IF(AND(ISNUMBER(D211),ISNUMBER(H211),D211&gt;=H211), OR(O211=TRUE,P211=TRUE), FALSE)</f>
        <v>0</v>
      </c>
      <c r="BU211">
        <f>AND(ISNUMBER(R211), R211&gt;=45, R211&lt;=60, W211=TRUE, E211&gt;=-20)</f>
        <v>0</v>
      </c>
      <c r="BV211">
        <f>OR(AI211=TRUE,AA211=TRUE)</f>
        <v>0</v>
      </c>
      <c r="BW211">
        <f>IFERROR( (AR211-D211) / MAX(D211-AQ211,1E-9) ,"")</f>
        <v>0</v>
      </c>
      <c r="BX211">
        <f>IFERROR(BW211&gt;=2, FALSE)</f>
        <v>0</v>
      </c>
      <c r="BY211" s="1">
        <f>IFERROR(ROUNDDOWN(MIN(IF(BA211&gt;0, BA211/D211, 1E99),IF(AZ211&gt;0, AZ211/MAX(D211-AQ211,1E-9), 1E99)),0),"")</f>
        <v>0</v>
      </c>
      <c r="BZ211" s="2">
        <f>IF(AND(ISNUMBER(D211),ISNUMBER(AT211)), D211*(1-AT211), "")</f>
        <v>0</v>
      </c>
      <c r="CA211">
        <f>AND(BT211=TRUE,BU211=TRUE,BV211=TRUE,BX211=TRUE)</f>
        <v>0</v>
      </c>
    </row>
    <row r="212" spans="1:79" x14ac:dyDescent="0.25">
      <c r="A212" t="s">
        <v>277</v>
      </c>
      <c r="B212">
        <f>HYPERLINK("data/charts/ATO.png", "Open")</f>
        <v>0</v>
      </c>
      <c r="C212" t="s">
        <v>279</v>
      </c>
      <c r="D212">
        <v>165.37</v>
      </c>
      <c r="E212">
        <v>-1.24</v>
      </c>
      <c r="F212">
        <v>29.77</v>
      </c>
      <c r="G212">
        <v>10.2</v>
      </c>
      <c r="H212">
        <v>150.06</v>
      </c>
      <c r="I212">
        <v>0.06279999999999999</v>
      </c>
      <c r="J212" t="b">
        <v>1</v>
      </c>
      <c r="K212">
        <v>156.03</v>
      </c>
      <c r="L212">
        <v>159.84</v>
      </c>
      <c r="M212">
        <v>160.61</v>
      </c>
      <c r="N212">
        <v>157.69</v>
      </c>
      <c r="O212" t="b">
        <v>1</v>
      </c>
      <c r="P212" t="b">
        <v>1</v>
      </c>
      <c r="Q212" t="b">
        <v>1</v>
      </c>
      <c r="R212">
        <v>66.61</v>
      </c>
      <c r="S212" t="b">
        <v>0</v>
      </c>
      <c r="T212" t="b">
        <v>0</v>
      </c>
      <c r="U212">
        <v>2.8944</v>
      </c>
      <c r="V212">
        <v>2.0942</v>
      </c>
      <c r="W212" t="b">
        <v>0</v>
      </c>
      <c r="X212" t="b">
        <v>0</v>
      </c>
      <c r="Y212">
        <v>968700</v>
      </c>
      <c r="Z212">
        <v>918390</v>
      </c>
      <c r="AA212" t="b">
        <v>0</v>
      </c>
      <c r="AB212">
        <v>159.84</v>
      </c>
      <c r="AC212">
        <v>168.08</v>
      </c>
      <c r="AD212">
        <v>151.6</v>
      </c>
      <c r="AE212">
        <v>0.836</v>
      </c>
      <c r="AF212">
        <v>0.103</v>
      </c>
      <c r="AG212">
        <v>167.44</v>
      </c>
      <c r="AH212">
        <v>154.23</v>
      </c>
      <c r="AI212" t="b">
        <v>0</v>
      </c>
      <c r="AJ212">
        <v>2.764</v>
      </c>
      <c r="AK212">
        <v>161.22</v>
      </c>
      <c r="AL212">
        <v>155.56</v>
      </c>
      <c r="AM212">
        <v>151.6</v>
      </c>
      <c r="AN212">
        <v>147.18</v>
      </c>
      <c r="AO212">
        <v>161.22</v>
      </c>
      <c r="AP212" t="s">
        <v>280</v>
      </c>
      <c r="AQ212">
        <v>147.18</v>
      </c>
      <c r="AR212">
        <v>181.91</v>
      </c>
      <c r="AS212">
        <v>0.05</v>
      </c>
      <c r="AT212">
        <v>0.07000000000000001</v>
      </c>
      <c r="AU212">
        <v>60</v>
      </c>
      <c r="AV212">
        <v>0.9092913316498946</v>
      </c>
      <c r="AW212">
        <v>3</v>
      </c>
      <c r="AX212">
        <v>5</v>
      </c>
      <c r="AY212">
        <v>54</v>
      </c>
      <c r="AZ212">
        <v>1000</v>
      </c>
      <c r="BA212">
        <v>15000</v>
      </c>
      <c r="BD212">
        <v>22.87</v>
      </c>
      <c r="BE212">
        <v>23.16</v>
      </c>
      <c r="BF212">
        <v>2.1</v>
      </c>
      <c r="BG212">
        <v>0.47</v>
      </c>
      <c r="BH212">
        <v>0.67</v>
      </c>
      <c r="BI212">
        <v>-57</v>
      </c>
      <c r="BJ212">
        <v>-61.64</v>
      </c>
      <c r="BK212">
        <v>22.23</v>
      </c>
      <c r="BM212">
        <v>1.82</v>
      </c>
      <c r="BN212" t="s">
        <v>305</v>
      </c>
      <c r="BO212" t="b">
        <v>0</v>
      </c>
      <c r="BP212" s="1">
        <f>IFERROR(RANK.EQ(AX212,AX$2:AX$213,0),"")</f>
        <v>0</v>
      </c>
      <c r="BQ212">
        <f>IFERROR(Y212/Z212,"")</f>
        <v>0</v>
      </c>
      <c r="BR212">
        <f>IFERROR(U212-V212,"")</f>
        <v>0</v>
      </c>
      <c r="BS212">
        <f>IFERROR(U212&gt;V212,"")</f>
        <v>0</v>
      </c>
      <c r="BT212">
        <f>IF(AND(ISNUMBER(D212),ISNUMBER(H212),D212&gt;=H212), OR(O212=TRUE,P212=TRUE), FALSE)</f>
        <v>0</v>
      </c>
      <c r="BU212">
        <f>AND(ISNUMBER(R212), R212&gt;=45, R212&lt;=60, W212=TRUE, E212&gt;=-20)</f>
        <v>0</v>
      </c>
      <c r="BV212">
        <f>OR(AI212=TRUE,AA212=TRUE)</f>
        <v>0</v>
      </c>
      <c r="BW212">
        <f>IFERROR( (AR212-D212) / MAX(D212-AQ212,1E-9) ,"")</f>
        <v>0</v>
      </c>
      <c r="BX212">
        <f>IFERROR(BW212&gt;=2, FALSE)</f>
        <v>0</v>
      </c>
      <c r="BY212" s="1">
        <f>IFERROR(ROUNDDOWN(MIN(IF(BA212&gt;0, BA212/D212, 1E99),IF(AZ212&gt;0, AZ212/MAX(D212-AQ212,1E-9), 1E99)),0),"")</f>
        <v>0</v>
      </c>
      <c r="BZ212" s="2">
        <f>IF(AND(ISNUMBER(D212),ISNUMBER(AT212)), D212*(1-AT212), "")</f>
        <v>0</v>
      </c>
      <c r="CA212">
        <f>AND(BT212=TRUE,BU212=TRUE,BV212=TRUE,BX212=TRUE)</f>
        <v>0</v>
      </c>
    </row>
    <row r="213" spans="1:79" x14ac:dyDescent="0.25">
      <c r="A213" t="s">
        <v>278</v>
      </c>
      <c r="B213">
        <f>HYPERLINK("data/charts/IMG_TO.png", "Open")</f>
        <v>0</v>
      </c>
      <c r="C213" t="s">
        <v>279</v>
      </c>
      <c r="D213">
        <v>11.24</v>
      </c>
      <c r="E213">
        <v>-3.35</v>
      </c>
      <c r="F213">
        <v>85.17</v>
      </c>
      <c r="G213">
        <v>26.1</v>
      </c>
      <c r="H213">
        <v>8.91</v>
      </c>
      <c r="I213">
        <v>0.1592</v>
      </c>
      <c r="J213" t="b">
        <v>1</v>
      </c>
      <c r="K213">
        <v>10.04</v>
      </c>
      <c r="L213">
        <v>10.14</v>
      </c>
      <c r="M213">
        <v>10.34</v>
      </c>
      <c r="N213">
        <v>10.03</v>
      </c>
      <c r="O213" t="b">
        <v>1</v>
      </c>
      <c r="P213" t="b">
        <v>1</v>
      </c>
      <c r="Q213" t="b">
        <v>1</v>
      </c>
      <c r="R213">
        <v>66.84999999999999</v>
      </c>
      <c r="S213" t="b">
        <v>0</v>
      </c>
      <c r="T213" t="b">
        <v>0</v>
      </c>
      <c r="U213">
        <v>0.3379</v>
      </c>
      <c r="V213">
        <v>0.1878</v>
      </c>
      <c r="W213" t="b">
        <v>0</v>
      </c>
      <c r="X213" t="b">
        <v>0</v>
      </c>
      <c r="Y213">
        <v>2681800</v>
      </c>
      <c r="Z213">
        <v>2238940</v>
      </c>
      <c r="AA213" t="b">
        <v>0</v>
      </c>
      <c r="AB213">
        <v>10.14</v>
      </c>
      <c r="AC213">
        <v>11.41</v>
      </c>
      <c r="AD213">
        <v>8.859999999999999</v>
      </c>
      <c r="AE213">
        <v>0.9320000000000001</v>
      </c>
      <c r="AF213">
        <v>0.251</v>
      </c>
      <c r="AG213">
        <v>11.57</v>
      </c>
      <c r="AH213">
        <v>9.26</v>
      </c>
      <c r="AI213" t="b">
        <v>0</v>
      </c>
      <c r="AJ213">
        <v>0.416</v>
      </c>
      <c r="AK213">
        <v>10.62</v>
      </c>
      <c r="AL213">
        <v>9.800000000000001</v>
      </c>
      <c r="AM213">
        <v>8.859999999999999</v>
      </c>
      <c r="AN213">
        <v>10</v>
      </c>
      <c r="AO213">
        <v>10.62</v>
      </c>
      <c r="AP213" t="s">
        <v>280</v>
      </c>
      <c r="AQ213">
        <v>10</v>
      </c>
      <c r="AR213">
        <v>12.36</v>
      </c>
      <c r="AS213">
        <v>0.05</v>
      </c>
      <c r="AT213">
        <v>0.07000000000000001</v>
      </c>
      <c r="AU213">
        <v>60</v>
      </c>
      <c r="AV213">
        <v>0.9032261577531424</v>
      </c>
      <c r="AW213">
        <v>3</v>
      </c>
      <c r="AX213">
        <v>5</v>
      </c>
      <c r="AY213">
        <v>806</v>
      </c>
      <c r="AZ213">
        <v>1000</v>
      </c>
      <c r="BA213">
        <v>15000</v>
      </c>
      <c r="BD213">
        <v>5.71</v>
      </c>
      <c r="BE213">
        <v>10.31</v>
      </c>
      <c r="BG213">
        <v>0</v>
      </c>
      <c r="BH213">
        <v>0.35</v>
      </c>
      <c r="BI213">
        <v>21.76</v>
      </c>
      <c r="BJ213">
        <v>100</v>
      </c>
      <c r="BK213">
        <v>13.55</v>
      </c>
      <c r="BM213">
        <v>-0.83</v>
      </c>
      <c r="BN213" t="s">
        <v>285</v>
      </c>
      <c r="BO213" t="b">
        <v>0</v>
      </c>
      <c r="BQ213">
        <f>IFERROR(Y213/Z213,"")</f>
        <v>0</v>
      </c>
      <c r="BR213">
        <f>IFERROR(U213-V213,"")</f>
        <v>0</v>
      </c>
      <c r="BS213">
        <f>IFERROR(U213&gt;V213,"")</f>
        <v>0</v>
      </c>
      <c r="BT213">
        <f>IF(AND(ISNUMBER(D213),ISNUMBER(H213),D213&gt;=H213), OR(O213=TRUE,P213=TRUE), FALSE)</f>
        <v>0</v>
      </c>
      <c r="BU213">
        <f>AND(ISNUMBER(R213), R213&gt;=45, R213&lt;=60, W213=TRUE, E213&gt;=-20)</f>
        <v>0</v>
      </c>
      <c r="BV213">
        <f>OR(AI213=TRUE,AA213=TRUE)</f>
        <v>0</v>
      </c>
      <c r="BW213">
        <f>IFERROR( (AR213-D213) / MAX(D213-AQ213,1E-9) ,"")</f>
        <v>0</v>
      </c>
      <c r="BX213">
        <f>IFERROR(BW213&gt;=2, FALSE)</f>
        <v>0</v>
      </c>
      <c r="BY213" s="1">
        <f>IFERROR(ROUNDDOWN(MIN(IF(BA213&gt;0, BA213/D213, 1E99),IF(AZ213&gt;0, AZ213/MAX(D213-AQ213,1E-9), 1E99)),0),"")</f>
        <v>0</v>
      </c>
      <c r="BZ213" s="2">
        <f>IF(AND(ISNUMBER(D213),ISNUMBER(AT213)), D213*(1-AT213), "")</f>
        <v>0</v>
      </c>
      <c r="CA213">
        <f>AND(BT213=TRUE,BU213=TRUE,BV213=TRUE,BX213=TRUE)</f>
        <v>0</v>
      </c>
    </row>
  </sheetData>
  <autoFilter ref="A1:CA213"/>
  <conditionalFormatting sqref="A2:A213">
    <cfRule type="containsText" dxfId="1" priority="85" operator="containsText" text="watch">
      <formula>NOT(ISERROR(SEARCH("watch",A2)))</formula>
    </cfRule>
    <cfRule type="containsText" dxfId="1" priority="86" operator="containsText" text="caution">
      <formula>NOT(ISERROR(SEARCH("caution",A2)))</formula>
    </cfRule>
    <cfRule type="containsText" dxfId="1" priority="87" operator="containsText" text="heads up">
      <formula>NOT(ISERROR(SEARCH("heads up",A2)))</formula>
    </cfRule>
    <cfRule type="containsText" dxfId="1" priority="88" operator="containsText" text="overextended">
      <formula>NOT(ISERROR(SEARCH("overextended",A2)))</formula>
    </cfRule>
    <cfRule type="containsText" dxfId="1" priority="89" operator="containsText" text="overbought">
      <formula>NOT(ISERROR(SEARCH("overbought",A2)))</formula>
    </cfRule>
    <cfRule type="containsText" dxfId="1" priority="90" operator="containsText" text="extended">
      <formula>NOT(ISERROR(SEARCH("extended",A2)))</formula>
    </cfRule>
    <cfRule type="containsText" dxfId="1" priority="91" operator="containsText" text="volatility">
      <formula>NOT(ISERROR(SEARCH("volatility",A2)))</formula>
    </cfRule>
    <cfRule type="containsText" dxfId="2" priority="92" operator="containsText" text="warning">
      <formula>NOT(ISERROR(SEARCH("warning",A2)))</formula>
    </cfRule>
    <cfRule type="containsText" dxfId="2" priority="93" operator="containsText" text="delay">
      <formula>NOT(ISERROR(SEARCH("delay",A2)))</formula>
    </cfRule>
    <cfRule type="containsText" dxfId="2" priority="94" operator="containsText" text="guidance cut">
      <formula>NOT(ISERROR(SEARCH("guidance cut",A2)))</formula>
    </cfRule>
    <cfRule type="containsText" dxfId="2" priority="95" operator="containsText" text="miss">
      <formula>NOT(ISERROR(SEARCH("miss",A2)))</formula>
    </cfRule>
    <cfRule type="containsText" dxfId="2" priority="96" operator="containsText" text="lawsuit">
      <formula>NOT(ISERROR(SEARCH("lawsuit",A2)))</formula>
    </cfRule>
    <cfRule type="containsText" dxfId="2" priority="97" operator="containsText" text="cuts">
      <formula>NOT(ISERROR(SEARCH("cuts",A2)))</formula>
    </cfRule>
    <cfRule type="containsText" dxfId="2" priority="98" operator="containsText" text="halt">
      <formula>NOT(ISERROR(SEARCH("halt",A2)))</formula>
    </cfRule>
    <cfRule type="containsText" dxfId="2" priority="99" operator="containsText" text="risk">
      <formula>NOT(ISERROR(SEARCH("risk",A2)))</formula>
    </cfRule>
    <cfRule type="containsText" dxfId="2" priority="100" operator="containsText" text="investigation">
      <formula>NOT(ISERROR(SEARCH("investigation",A2)))</formula>
    </cfRule>
    <cfRule type="containsText" dxfId="2" priority="101" operator="containsText" text="downgrade">
      <formula>NOT(ISERROR(SEARCH("downgrade",A2)))</formula>
    </cfRule>
    <cfRule type="containsText" dxfId="2" priority="102" operator="containsText" text="recall">
      <formula>NOT(ISERROR(SEARCH("recall",A2)))</formula>
    </cfRule>
    <cfRule type="containsText" dxfId="0" priority="103" operator="containsText" text="dividend hike">
      <formula>NOT(ISERROR(SEARCH("dividend hike",A2)))</formula>
    </cfRule>
    <cfRule type="containsText" dxfId="0" priority="104" operator="containsText" text="beats">
      <formula>NOT(ISERROR(SEARCH("beats",A2)))</formula>
    </cfRule>
    <cfRule type="containsText" dxfId="0" priority="105" operator="containsText" text="award">
      <formula>NOT(ISERROR(SEARCH("award",A2)))</formula>
    </cfRule>
    <cfRule type="containsText" dxfId="0" priority="106" operator="containsText" text="strong">
      <formula>NOT(ISERROR(SEARCH("strong",A2)))</formula>
    </cfRule>
    <cfRule type="containsText" dxfId="0" priority="107" operator="containsText" text="upgrade">
      <formula>NOT(ISERROR(SEARCH("upgrade",A2)))</formula>
    </cfRule>
    <cfRule type="containsText" dxfId="0" priority="108" operator="containsText" text="contract">
      <formula>NOT(ISERROR(SEARCH("contract",A2)))</formula>
    </cfRule>
    <cfRule type="containsText" dxfId="0" priority="109" operator="containsText" text="beat">
      <formula>NOT(ISERROR(SEARCH("beat",A2)))</formula>
    </cfRule>
    <cfRule type="containsText" dxfId="0" priority="110" operator="containsText" text="clearance">
      <formula>NOT(ISERROR(SEARCH("clearance",A2)))</formula>
    </cfRule>
    <cfRule type="containsText" dxfId="0" priority="111" operator="containsText" text="partnership">
      <formula>NOT(ISERROR(SEARCH("partnership",A2)))</formula>
    </cfRule>
    <cfRule type="containsText" dxfId="0" priority="112" operator="containsText" text="approval">
      <formula>NOT(ISERROR(SEARCH("approval",A2)))</formula>
    </cfRule>
    <cfRule type="containsText" dxfId="0" priority="113" operator="containsText" text="good">
      <formula>NOT(ISERROR(SEARCH("good",A2)))</formula>
    </cfRule>
    <cfRule type="containsText" dxfId="0" priority="114" operator="containsText" text="buyback">
      <formula>NOT(ISERROR(SEARCH("buyback",A2)))</formula>
    </cfRule>
  </conditionalFormatting>
  <conditionalFormatting sqref="A2:CA213">
    <cfRule type="expression" dxfId="3" priority="295">
      <formula>$BO2=TRUE</formula>
    </cfRule>
    <cfRule type="expression" dxfId="4" priority="296">
      <formula>MOD(ROW(),2)=0</formula>
    </cfRule>
  </conditionalFormatting>
  <conditionalFormatting sqref="AA2:AA213">
    <cfRule type="cellIs" dxfId="0" priority="37" operator="equal">
      <formula>TRUE</formula>
    </cfRule>
    <cfRule type="cellIs" dxfId="0" priority="38" operator="equal">
      <formula>"TRUE"</formula>
    </cfRule>
    <cfRule type="cellIs" dxfId="2" priority="39" operator="equal">
      <formula>FALSE</formula>
    </cfRule>
    <cfRule type="cellIs" dxfId="2" priority="40" operator="equal">
      <formula>"FALSE"</formula>
    </cfRule>
    <cfRule type="cellIs" dxfId="0" priority="57" operator="equal">
      <formula>TRUE</formula>
    </cfRule>
    <cfRule type="cellIs" dxfId="0" priority="58" operator="equal">
      <formula>"TRUE"</formula>
    </cfRule>
    <cfRule type="cellIs" dxfId="2" priority="59" operator="equal">
      <formula>FALSE</formula>
    </cfRule>
    <cfRule type="cellIs" dxfId="2" priority="60" operator="equal">
      <formula>"FALSE"</formula>
    </cfRule>
  </conditionalFormatting>
  <conditionalFormatting sqref="AE2:AE213">
    <cfRule type="colorScale" priority="67">
      <colorScale>
        <cfvo type="min" val="0"/>
        <cfvo type="percentile" val="50"/>
        <cfvo type="max" val="0"/>
        <color rgb="FF63BE7B"/>
        <color rgb="FFFFEB84"/>
        <color rgb="FFF8696B"/>
      </colorScale>
    </cfRule>
    <cfRule type="cellIs" dxfId="0" priority="68" operator="lessThanOrEqual">
      <formula>0.05</formula>
    </cfRule>
    <cfRule type="cellIs" dxfId="2" priority="69" operator="greaterThanOrEqual">
      <formula>0.95</formula>
    </cfRule>
  </conditionalFormatting>
  <conditionalFormatting sqref="AG2:AG213">
    <cfRule type="colorScale" priority="7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AH2:AH213">
    <cfRule type="colorScale" priority="73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AI2:AI213">
    <cfRule type="cellIs" dxfId="0" priority="21" operator="equal">
      <formula>TRUE</formula>
    </cfRule>
    <cfRule type="cellIs" dxfId="0" priority="22" operator="equal">
      <formula>"TRUE"</formula>
    </cfRule>
    <cfRule type="cellIs" dxfId="2" priority="23" operator="equal">
      <formula>FALSE</formula>
    </cfRule>
    <cfRule type="cellIs" dxfId="2" priority="24" operator="equal">
      <formula>"FALSE"</formula>
    </cfRule>
  </conditionalFormatting>
  <conditionalFormatting sqref="AP2:AP213">
    <cfRule type="containsText" dxfId="1" priority="175" operator="containsText" text="watch">
      <formula>NOT(ISERROR(SEARCH("watch",AP2)))</formula>
    </cfRule>
    <cfRule type="containsText" dxfId="1" priority="176" operator="containsText" text="caution">
      <formula>NOT(ISERROR(SEARCH("caution",AP2)))</formula>
    </cfRule>
    <cfRule type="containsText" dxfId="1" priority="177" operator="containsText" text="heads up">
      <formula>NOT(ISERROR(SEARCH("heads up",AP2)))</formula>
    </cfRule>
    <cfRule type="containsText" dxfId="1" priority="178" operator="containsText" text="overextended">
      <formula>NOT(ISERROR(SEARCH("overextended",AP2)))</formula>
    </cfRule>
    <cfRule type="containsText" dxfId="1" priority="179" operator="containsText" text="overbought">
      <formula>NOT(ISERROR(SEARCH("overbought",AP2)))</formula>
    </cfRule>
    <cfRule type="containsText" dxfId="1" priority="180" operator="containsText" text="extended">
      <formula>NOT(ISERROR(SEARCH("extended",AP2)))</formula>
    </cfRule>
    <cfRule type="containsText" dxfId="1" priority="181" operator="containsText" text="volatility">
      <formula>NOT(ISERROR(SEARCH("volatility",AP2)))</formula>
    </cfRule>
    <cfRule type="containsText" dxfId="2" priority="182" operator="containsText" text="warning">
      <formula>NOT(ISERROR(SEARCH("warning",AP2)))</formula>
    </cfRule>
    <cfRule type="containsText" dxfId="2" priority="183" operator="containsText" text="delay">
      <formula>NOT(ISERROR(SEARCH("delay",AP2)))</formula>
    </cfRule>
    <cfRule type="containsText" dxfId="2" priority="184" operator="containsText" text="guidance cut">
      <formula>NOT(ISERROR(SEARCH("guidance cut",AP2)))</formula>
    </cfRule>
    <cfRule type="containsText" dxfId="2" priority="185" operator="containsText" text="miss">
      <formula>NOT(ISERROR(SEARCH("miss",AP2)))</formula>
    </cfRule>
    <cfRule type="containsText" dxfId="2" priority="186" operator="containsText" text="lawsuit">
      <formula>NOT(ISERROR(SEARCH("lawsuit",AP2)))</formula>
    </cfRule>
    <cfRule type="containsText" dxfId="2" priority="187" operator="containsText" text="cuts">
      <formula>NOT(ISERROR(SEARCH("cuts",AP2)))</formula>
    </cfRule>
    <cfRule type="containsText" dxfId="2" priority="188" operator="containsText" text="halt">
      <formula>NOT(ISERROR(SEARCH("halt",AP2)))</formula>
    </cfRule>
    <cfRule type="containsText" dxfId="2" priority="189" operator="containsText" text="risk">
      <formula>NOT(ISERROR(SEARCH("risk",AP2)))</formula>
    </cfRule>
    <cfRule type="containsText" dxfId="2" priority="190" operator="containsText" text="investigation">
      <formula>NOT(ISERROR(SEARCH("investigation",AP2)))</formula>
    </cfRule>
    <cfRule type="containsText" dxfId="2" priority="191" operator="containsText" text="downgrade">
      <formula>NOT(ISERROR(SEARCH("downgrade",AP2)))</formula>
    </cfRule>
    <cfRule type="containsText" dxfId="2" priority="192" operator="containsText" text="recall">
      <formula>NOT(ISERROR(SEARCH("recall",AP2)))</formula>
    </cfRule>
    <cfRule type="containsText" dxfId="0" priority="193" operator="containsText" text="dividend hike">
      <formula>NOT(ISERROR(SEARCH("dividend hike",AP2)))</formula>
    </cfRule>
    <cfRule type="containsText" dxfId="0" priority="194" operator="containsText" text="beats">
      <formula>NOT(ISERROR(SEARCH("beats",AP2)))</formula>
    </cfRule>
    <cfRule type="containsText" dxfId="0" priority="195" operator="containsText" text="award">
      <formula>NOT(ISERROR(SEARCH("award",AP2)))</formula>
    </cfRule>
    <cfRule type="containsText" dxfId="0" priority="196" operator="containsText" text="strong">
      <formula>NOT(ISERROR(SEARCH("strong",AP2)))</formula>
    </cfRule>
    <cfRule type="containsText" dxfId="0" priority="197" operator="containsText" text="upgrade">
      <formula>NOT(ISERROR(SEARCH("upgrade",AP2)))</formula>
    </cfRule>
    <cfRule type="containsText" dxfId="0" priority="198" operator="containsText" text="contract">
      <formula>NOT(ISERROR(SEARCH("contract",AP2)))</formula>
    </cfRule>
    <cfRule type="containsText" dxfId="0" priority="199" operator="containsText" text="beat">
      <formula>NOT(ISERROR(SEARCH("beat",AP2)))</formula>
    </cfRule>
    <cfRule type="containsText" dxfId="0" priority="200" operator="containsText" text="clearance">
      <formula>NOT(ISERROR(SEARCH("clearance",AP2)))</formula>
    </cfRule>
    <cfRule type="containsText" dxfId="0" priority="201" operator="containsText" text="partnership">
      <formula>NOT(ISERROR(SEARCH("partnership",AP2)))</formula>
    </cfRule>
    <cfRule type="containsText" dxfId="0" priority="202" operator="containsText" text="approval">
      <formula>NOT(ISERROR(SEARCH("approval",AP2)))</formula>
    </cfRule>
    <cfRule type="containsText" dxfId="0" priority="203" operator="containsText" text="good">
      <formula>NOT(ISERROR(SEARCH("good",AP2)))</formula>
    </cfRule>
    <cfRule type="containsText" dxfId="0" priority="204" operator="containsText" text="buyback">
      <formula>NOT(ISERROR(SEARCH("buyback",AP2)))</formula>
    </cfRule>
  </conditionalFormatting>
  <conditionalFormatting sqref="AW2:AW213">
    <cfRule type="colorScale" priority="1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conditionalFormatting sqref="AX2:AX213">
    <cfRule type="colorScale" priority="2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conditionalFormatting sqref="B2:B213">
    <cfRule type="containsText" dxfId="1" priority="115" operator="containsText" text="watch">
      <formula>NOT(ISERROR(SEARCH("watch",B2)))</formula>
    </cfRule>
    <cfRule type="containsText" dxfId="1" priority="116" operator="containsText" text="caution">
      <formula>NOT(ISERROR(SEARCH("caution",B2)))</formula>
    </cfRule>
    <cfRule type="containsText" dxfId="1" priority="117" operator="containsText" text="heads up">
      <formula>NOT(ISERROR(SEARCH("heads up",B2)))</formula>
    </cfRule>
    <cfRule type="containsText" dxfId="1" priority="118" operator="containsText" text="overextended">
      <formula>NOT(ISERROR(SEARCH("overextended",B2)))</formula>
    </cfRule>
    <cfRule type="containsText" dxfId="1" priority="119" operator="containsText" text="overbought">
      <formula>NOT(ISERROR(SEARCH("overbought",B2)))</formula>
    </cfRule>
    <cfRule type="containsText" dxfId="1" priority="120" operator="containsText" text="extended">
      <formula>NOT(ISERROR(SEARCH("extended",B2)))</formula>
    </cfRule>
    <cfRule type="containsText" dxfId="1" priority="121" operator="containsText" text="volatility">
      <formula>NOT(ISERROR(SEARCH("volatility",B2)))</formula>
    </cfRule>
    <cfRule type="containsText" dxfId="2" priority="122" operator="containsText" text="warning">
      <formula>NOT(ISERROR(SEARCH("warning",B2)))</formula>
    </cfRule>
    <cfRule type="containsText" dxfId="2" priority="123" operator="containsText" text="delay">
      <formula>NOT(ISERROR(SEARCH("delay",B2)))</formula>
    </cfRule>
    <cfRule type="containsText" dxfId="2" priority="124" operator="containsText" text="guidance cut">
      <formula>NOT(ISERROR(SEARCH("guidance cut",B2)))</formula>
    </cfRule>
    <cfRule type="containsText" dxfId="2" priority="125" operator="containsText" text="miss">
      <formula>NOT(ISERROR(SEARCH("miss",B2)))</formula>
    </cfRule>
    <cfRule type="containsText" dxfId="2" priority="126" operator="containsText" text="lawsuit">
      <formula>NOT(ISERROR(SEARCH("lawsuit",B2)))</formula>
    </cfRule>
    <cfRule type="containsText" dxfId="2" priority="127" operator="containsText" text="cuts">
      <formula>NOT(ISERROR(SEARCH("cuts",B2)))</formula>
    </cfRule>
    <cfRule type="containsText" dxfId="2" priority="128" operator="containsText" text="halt">
      <formula>NOT(ISERROR(SEARCH("halt",B2)))</formula>
    </cfRule>
    <cfRule type="containsText" dxfId="2" priority="129" operator="containsText" text="risk">
      <formula>NOT(ISERROR(SEARCH("risk",B2)))</formula>
    </cfRule>
    <cfRule type="containsText" dxfId="2" priority="130" operator="containsText" text="investigation">
      <formula>NOT(ISERROR(SEARCH("investigation",B2)))</formula>
    </cfRule>
    <cfRule type="containsText" dxfId="2" priority="131" operator="containsText" text="downgrade">
      <formula>NOT(ISERROR(SEARCH("downgrade",B2)))</formula>
    </cfRule>
    <cfRule type="containsText" dxfId="2" priority="132" operator="containsText" text="recall">
      <formula>NOT(ISERROR(SEARCH("recall",B2)))</formula>
    </cfRule>
    <cfRule type="containsText" dxfId="0" priority="133" operator="containsText" text="dividend hike">
      <formula>NOT(ISERROR(SEARCH("dividend hike",B2)))</formula>
    </cfRule>
    <cfRule type="containsText" dxfId="0" priority="134" operator="containsText" text="beats">
      <formula>NOT(ISERROR(SEARCH("beats",B2)))</formula>
    </cfRule>
    <cfRule type="containsText" dxfId="0" priority="135" operator="containsText" text="award">
      <formula>NOT(ISERROR(SEARCH("award",B2)))</formula>
    </cfRule>
    <cfRule type="containsText" dxfId="0" priority="136" operator="containsText" text="strong">
      <formula>NOT(ISERROR(SEARCH("strong",B2)))</formula>
    </cfRule>
    <cfRule type="containsText" dxfId="0" priority="137" operator="containsText" text="upgrade">
      <formula>NOT(ISERROR(SEARCH("upgrade",B2)))</formula>
    </cfRule>
    <cfRule type="containsText" dxfId="0" priority="138" operator="containsText" text="contract">
      <formula>NOT(ISERROR(SEARCH("contract",B2)))</formula>
    </cfRule>
    <cfRule type="containsText" dxfId="0" priority="139" operator="containsText" text="beat">
      <formula>NOT(ISERROR(SEARCH("beat",B2)))</formula>
    </cfRule>
    <cfRule type="containsText" dxfId="0" priority="140" operator="containsText" text="clearance">
      <formula>NOT(ISERROR(SEARCH("clearance",B2)))</formula>
    </cfRule>
    <cfRule type="containsText" dxfId="0" priority="141" operator="containsText" text="partnership">
      <formula>NOT(ISERROR(SEARCH("partnership",B2)))</formula>
    </cfRule>
    <cfRule type="containsText" dxfId="0" priority="142" operator="containsText" text="approval">
      <formula>NOT(ISERROR(SEARCH("approval",B2)))</formula>
    </cfRule>
    <cfRule type="containsText" dxfId="0" priority="143" operator="containsText" text="good">
      <formula>NOT(ISERROR(SEARCH("good",B2)))</formula>
    </cfRule>
    <cfRule type="containsText" dxfId="0" priority="144" operator="containsText" text="buyback">
      <formula>NOT(ISERROR(SEARCH("buyback",B2)))</formula>
    </cfRule>
  </conditionalFormatting>
  <conditionalFormatting sqref="BB2:BB213">
    <cfRule type="colorScale" priority="3">
      <colorScale>
        <cfvo type="min" val="0"/>
        <cfvo type="max" val="0"/>
        <color rgb="FFF8696B"/>
        <color rgb="FF63BE7B"/>
      </colorScale>
    </cfRule>
  </conditionalFormatting>
  <conditionalFormatting sqref="BC2:BC213">
    <cfRule type="containsText" dxfId="1" priority="205" operator="containsText" text="watch">
      <formula>NOT(ISERROR(SEARCH("watch",BC2)))</formula>
    </cfRule>
    <cfRule type="containsText" dxfId="1" priority="206" operator="containsText" text="caution">
      <formula>NOT(ISERROR(SEARCH("caution",BC2)))</formula>
    </cfRule>
    <cfRule type="containsText" dxfId="1" priority="207" operator="containsText" text="heads up">
      <formula>NOT(ISERROR(SEARCH("heads up",BC2)))</formula>
    </cfRule>
    <cfRule type="containsText" dxfId="1" priority="208" operator="containsText" text="overextended">
      <formula>NOT(ISERROR(SEARCH("overextended",BC2)))</formula>
    </cfRule>
    <cfRule type="containsText" dxfId="1" priority="209" operator="containsText" text="overbought">
      <formula>NOT(ISERROR(SEARCH("overbought",BC2)))</formula>
    </cfRule>
    <cfRule type="containsText" dxfId="1" priority="210" operator="containsText" text="extended">
      <formula>NOT(ISERROR(SEARCH("extended",BC2)))</formula>
    </cfRule>
    <cfRule type="containsText" dxfId="1" priority="211" operator="containsText" text="volatility">
      <formula>NOT(ISERROR(SEARCH("volatility",BC2)))</formula>
    </cfRule>
    <cfRule type="containsText" dxfId="2" priority="212" operator="containsText" text="warning">
      <formula>NOT(ISERROR(SEARCH("warning",BC2)))</formula>
    </cfRule>
    <cfRule type="containsText" dxfId="2" priority="213" operator="containsText" text="delay">
      <formula>NOT(ISERROR(SEARCH("delay",BC2)))</formula>
    </cfRule>
    <cfRule type="containsText" dxfId="2" priority="214" operator="containsText" text="guidance cut">
      <formula>NOT(ISERROR(SEARCH("guidance cut",BC2)))</formula>
    </cfRule>
    <cfRule type="containsText" dxfId="2" priority="215" operator="containsText" text="miss">
      <formula>NOT(ISERROR(SEARCH("miss",BC2)))</formula>
    </cfRule>
    <cfRule type="containsText" dxfId="2" priority="216" operator="containsText" text="lawsuit">
      <formula>NOT(ISERROR(SEARCH("lawsuit",BC2)))</formula>
    </cfRule>
    <cfRule type="containsText" dxfId="2" priority="217" operator="containsText" text="cuts">
      <formula>NOT(ISERROR(SEARCH("cuts",BC2)))</formula>
    </cfRule>
    <cfRule type="containsText" dxfId="2" priority="218" operator="containsText" text="halt">
      <formula>NOT(ISERROR(SEARCH("halt",BC2)))</formula>
    </cfRule>
    <cfRule type="containsText" dxfId="2" priority="219" operator="containsText" text="risk">
      <formula>NOT(ISERROR(SEARCH("risk",BC2)))</formula>
    </cfRule>
    <cfRule type="containsText" dxfId="2" priority="220" operator="containsText" text="investigation">
      <formula>NOT(ISERROR(SEARCH("investigation",BC2)))</formula>
    </cfRule>
    <cfRule type="containsText" dxfId="2" priority="221" operator="containsText" text="downgrade">
      <formula>NOT(ISERROR(SEARCH("downgrade",BC2)))</formula>
    </cfRule>
    <cfRule type="containsText" dxfId="2" priority="222" operator="containsText" text="recall">
      <formula>NOT(ISERROR(SEARCH("recall",BC2)))</formula>
    </cfRule>
    <cfRule type="containsText" dxfId="0" priority="223" operator="containsText" text="dividend hike">
      <formula>NOT(ISERROR(SEARCH("dividend hike",BC2)))</formula>
    </cfRule>
    <cfRule type="containsText" dxfId="0" priority="224" operator="containsText" text="beats">
      <formula>NOT(ISERROR(SEARCH("beats",BC2)))</formula>
    </cfRule>
    <cfRule type="containsText" dxfId="0" priority="225" operator="containsText" text="award">
      <formula>NOT(ISERROR(SEARCH("award",BC2)))</formula>
    </cfRule>
    <cfRule type="containsText" dxfId="0" priority="226" operator="containsText" text="strong">
      <formula>NOT(ISERROR(SEARCH("strong",BC2)))</formula>
    </cfRule>
    <cfRule type="containsText" dxfId="0" priority="227" operator="containsText" text="upgrade">
      <formula>NOT(ISERROR(SEARCH("upgrade",BC2)))</formula>
    </cfRule>
    <cfRule type="containsText" dxfId="0" priority="228" operator="containsText" text="contract">
      <formula>NOT(ISERROR(SEARCH("contract",BC2)))</formula>
    </cfRule>
    <cfRule type="containsText" dxfId="0" priority="229" operator="containsText" text="beat">
      <formula>NOT(ISERROR(SEARCH("beat",BC2)))</formula>
    </cfRule>
    <cfRule type="containsText" dxfId="0" priority="230" operator="containsText" text="clearance">
      <formula>NOT(ISERROR(SEARCH("clearance",BC2)))</formula>
    </cfRule>
    <cfRule type="containsText" dxfId="0" priority="231" operator="containsText" text="partnership">
      <formula>NOT(ISERROR(SEARCH("partnership",BC2)))</formula>
    </cfRule>
    <cfRule type="containsText" dxfId="0" priority="232" operator="containsText" text="approval">
      <formula>NOT(ISERROR(SEARCH("approval",BC2)))</formula>
    </cfRule>
    <cfRule type="containsText" dxfId="0" priority="233" operator="containsText" text="good">
      <formula>NOT(ISERROR(SEARCH("good",BC2)))</formula>
    </cfRule>
    <cfRule type="containsText" dxfId="0" priority="234" operator="containsText" text="buyback">
      <formula>NOT(ISERROR(SEARCH("buyback",BC2)))</formula>
    </cfRule>
  </conditionalFormatting>
  <conditionalFormatting sqref="BL2:BL213">
    <cfRule type="containsText" dxfId="1" priority="235" operator="containsText" text="watch">
      <formula>NOT(ISERROR(SEARCH("watch",BL2)))</formula>
    </cfRule>
    <cfRule type="containsText" dxfId="1" priority="236" operator="containsText" text="caution">
      <formula>NOT(ISERROR(SEARCH("caution",BL2)))</formula>
    </cfRule>
    <cfRule type="containsText" dxfId="1" priority="237" operator="containsText" text="heads up">
      <formula>NOT(ISERROR(SEARCH("heads up",BL2)))</formula>
    </cfRule>
    <cfRule type="containsText" dxfId="1" priority="238" operator="containsText" text="overextended">
      <formula>NOT(ISERROR(SEARCH("overextended",BL2)))</formula>
    </cfRule>
    <cfRule type="containsText" dxfId="1" priority="239" operator="containsText" text="overbought">
      <formula>NOT(ISERROR(SEARCH("overbought",BL2)))</formula>
    </cfRule>
    <cfRule type="containsText" dxfId="1" priority="240" operator="containsText" text="extended">
      <formula>NOT(ISERROR(SEARCH("extended",BL2)))</formula>
    </cfRule>
    <cfRule type="containsText" dxfId="1" priority="241" operator="containsText" text="volatility">
      <formula>NOT(ISERROR(SEARCH("volatility",BL2)))</formula>
    </cfRule>
    <cfRule type="containsText" dxfId="2" priority="242" operator="containsText" text="warning">
      <formula>NOT(ISERROR(SEARCH("warning",BL2)))</formula>
    </cfRule>
    <cfRule type="containsText" dxfId="2" priority="243" operator="containsText" text="delay">
      <formula>NOT(ISERROR(SEARCH("delay",BL2)))</formula>
    </cfRule>
    <cfRule type="containsText" dxfId="2" priority="244" operator="containsText" text="guidance cut">
      <formula>NOT(ISERROR(SEARCH("guidance cut",BL2)))</formula>
    </cfRule>
    <cfRule type="containsText" dxfId="2" priority="245" operator="containsText" text="miss">
      <formula>NOT(ISERROR(SEARCH("miss",BL2)))</formula>
    </cfRule>
    <cfRule type="containsText" dxfId="2" priority="246" operator="containsText" text="lawsuit">
      <formula>NOT(ISERROR(SEARCH("lawsuit",BL2)))</formula>
    </cfRule>
    <cfRule type="containsText" dxfId="2" priority="247" operator="containsText" text="cuts">
      <formula>NOT(ISERROR(SEARCH("cuts",BL2)))</formula>
    </cfRule>
    <cfRule type="containsText" dxfId="2" priority="248" operator="containsText" text="halt">
      <formula>NOT(ISERROR(SEARCH("halt",BL2)))</formula>
    </cfRule>
    <cfRule type="containsText" dxfId="2" priority="249" operator="containsText" text="risk">
      <formula>NOT(ISERROR(SEARCH("risk",BL2)))</formula>
    </cfRule>
    <cfRule type="containsText" dxfId="2" priority="250" operator="containsText" text="investigation">
      <formula>NOT(ISERROR(SEARCH("investigation",BL2)))</formula>
    </cfRule>
    <cfRule type="containsText" dxfId="2" priority="251" operator="containsText" text="downgrade">
      <formula>NOT(ISERROR(SEARCH("downgrade",BL2)))</formula>
    </cfRule>
    <cfRule type="containsText" dxfId="2" priority="252" operator="containsText" text="recall">
      <formula>NOT(ISERROR(SEARCH("recall",BL2)))</formula>
    </cfRule>
    <cfRule type="containsText" dxfId="0" priority="253" operator="containsText" text="dividend hike">
      <formula>NOT(ISERROR(SEARCH("dividend hike",BL2)))</formula>
    </cfRule>
    <cfRule type="containsText" dxfId="0" priority="254" operator="containsText" text="beats">
      <formula>NOT(ISERROR(SEARCH("beats",BL2)))</formula>
    </cfRule>
    <cfRule type="containsText" dxfId="0" priority="255" operator="containsText" text="award">
      <formula>NOT(ISERROR(SEARCH("award",BL2)))</formula>
    </cfRule>
    <cfRule type="containsText" dxfId="0" priority="256" operator="containsText" text="strong">
      <formula>NOT(ISERROR(SEARCH("strong",BL2)))</formula>
    </cfRule>
    <cfRule type="containsText" dxfId="0" priority="257" operator="containsText" text="upgrade">
      <formula>NOT(ISERROR(SEARCH("upgrade",BL2)))</formula>
    </cfRule>
    <cfRule type="containsText" dxfId="0" priority="258" operator="containsText" text="contract">
      <formula>NOT(ISERROR(SEARCH("contract",BL2)))</formula>
    </cfRule>
    <cfRule type="containsText" dxfId="0" priority="259" operator="containsText" text="beat">
      <formula>NOT(ISERROR(SEARCH("beat",BL2)))</formula>
    </cfRule>
    <cfRule type="containsText" dxfId="0" priority="260" operator="containsText" text="clearance">
      <formula>NOT(ISERROR(SEARCH("clearance",BL2)))</formula>
    </cfRule>
    <cfRule type="containsText" dxfId="0" priority="261" operator="containsText" text="partnership">
      <formula>NOT(ISERROR(SEARCH("partnership",BL2)))</formula>
    </cfRule>
    <cfRule type="containsText" dxfId="0" priority="262" operator="containsText" text="approval">
      <formula>NOT(ISERROR(SEARCH("approval",BL2)))</formula>
    </cfRule>
    <cfRule type="containsText" dxfId="0" priority="263" operator="containsText" text="good">
      <formula>NOT(ISERROR(SEARCH("good",BL2)))</formula>
    </cfRule>
    <cfRule type="containsText" dxfId="0" priority="264" operator="containsText" text="buyback">
      <formula>NOT(ISERROR(SEARCH("buyback",BL2)))</formula>
    </cfRule>
  </conditionalFormatting>
  <conditionalFormatting sqref="BN2:BN213">
    <cfRule type="containsText" dxfId="1" priority="265" operator="containsText" text="watch">
      <formula>NOT(ISERROR(SEARCH("watch",BN2)))</formula>
    </cfRule>
    <cfRule type="containsText" dxfId="1" priority="266" operator="containsText" text="caution">
      <formula>NOT(ISERROR(SEARCH("caution",BN2)))</formula>
    </cfRule>
    <cfRule type="containsText" dxfId="1" priority="267" operator="containsText" text="heads up">
      <formula>NOT(ISERROR(SEARCH("heads up",BN2)))</formula>
    </cfRule>
    <cfRule type="containsText" dxfId="1" priority="268" operator="containsText" text="overextended">
      <formula>NOT(ISERROR(SEARCH("overextended",BN2)))</formula>
    </cfRule>
    <cfRule type="containsText" dxfId="1" priority="269" operator="containsText" text="overbought">
      <formula>NOT(ISERROR(SEARCH("overbought",BN2)))</formula>
    </cfRule>
    <cfRule type="containsText" dxfId="1" priority="270" operator="containsText" text="extended">
      <formula>NOT(ISERROR(SEARCH("extended",BN2)))</formula>
    </cfRule>
    <cfRule type="containsText" dxfId="1" priority="271" operator="containsText" text="volatility">
      <formula>NOT(ISERROR(SEARCH("volatility",BN2)))</formula>
    </cfRule>
    <cfRule type="containsText" dxfId="2" priority="272" operator="containsText" text="warning">
      <formula>NOT(ISERROR(SEARCH("warning",BN2)))</formula>
    </cfRule>
    <cfRule type="containsText" dxfId="2" priority="273" operator="containsText" text="delay">
      <formula>NOT(ISERROR(SEARCH("delay",BN2)))</formula>
    </cfRule>
    <cfRule type="containsText" dxfId="2" priority="274" operator="containsText" text="guidance cut">
      <formula>NOT(ISERROR(SEARCH("guidance cut",BN2)))</formula>
    </cfRule>
    <cfRule type="containsText" dxfId="2" priority="275" operator="containsText" text="miss">
      <formula>NOT(ISERROR(SEARCH("miss",BN2)))</formula>
    </cfRule>
    <cfRule type="containsText" dxfId="2" priority="276" operator="containsText" text="lawsuit">
      <formula>NOT(ISERROR(SEARCH("lawsuit",BN2)))</formula>
    </cfRule>
    <cfRule type="containsText" dxfId="2" priority="277" operator="containsText" text="cuts">
      <formula>NOT(ISERROR(SEARCH("cuts",BN2)))</formula>
    </cfRule>
    <cfRule type="containsText" dxfId="2" priority="278" operator="containsText" text="halt">
      <formula>NOT(ISERROR(SEARCH("halt",BN2)))</formula>
    </cfRule>
    <cfRule type="containsText" dxfId="2" priority="279" operator="containsText" text="risk">
      <formula>NOT(ISERROR(SEARCH("risk",BN2)))</formula>
    </cfRule>
    <cfRule type="containsText" dxfId="2" priority="280" operator="containsText" text="investigation">
      <formula>NOT(ISERROR(SEARCH("investigation",BN2)))</formula>
    </cfRule>
    <cfRule type="containsText" dxfId="2" priority="281" operator="containsText" text="downgrade">
      <formula>NOT(ISERROR(SEARCH("downgrade",BN2)))</formula>
    </cfRule>
    <cfRule type="containsText" dxfId="2" priority="282" operator="containsText" text="recall">
      <formula>NOT(ISERROR(SEARCH("recall",BN2)))</formula>
    </cfRule>
    <cfRule type="containsText" dxfId="0" priority="283" operator="containsText" text="dividend hike">
      <formula>NOT(ISERROR(SEARCH("dividend hike",BN2)))</formula>
    </cfRule>
    <cfRule type="containsText" dxfId="0" priority="284" operator="containsText" text="beats">
      <formula>NOT(ISERROR(SEARCH("beats",BN2)))</formula>
    </cfRule>
    <cfRule type="containsText" dxfId="0" priority="285" operator="containsText" text="award">
      <formula>NOT(ISERROR(SEARCH("award",BN2)))</formula>
    </cfRule>
    <cfRule type="containsText" dxfId="0" priority="286" operator="containsText" text="strong">
      <formula>NOT(ISERROR(SEARCH("strong",BN2)))</formula>
    </cfRule>
    <cfRule type="containsText" dxfId="0" priority="287" operator="containsText" text="upgrade">
      <formula>NOT(ISERROR(SEARCH("upgrade",BN2)))</formula>
    </cfRule>
    <cfRule type="containsText" dxfId="0" priority="288" operator="containsText" text="contract">
      <formula>NOT(ISERROR(SEARCH("contract",BN2)))</formula>
    </cfRule>
    <cfRule type="containsText" dxfId="0" priority="289" operator="containsText" text="beat">
      <formula>NOT(ISERROR(SEARCH("beat",BN2)))</formula>
    </cfRule>
    <cfRule type="containsText" dxfId="0" priority="290" operator="containsText" text="clearance">
      <formula>NOT(ISERROR(SEARCH("clearance",BN2)))</formula>
    </cfRule>
    <cfRule type="containsText" dxfId="0" priority="291" operator="containsText" text="partnership">
      <formula>NOT(ISERROR(SEARCH("partnership",BN2)))</formula>
    </cfRule>
    <cfRule type="containsText" dxfId="0" priority="292" operator="containsText" text="approval">
      <formula>NOT(ISERROR(SEARCH("approval",BN2)))</formula>
    </cfRule>
    <cfRule type="containsText" dxfId="0" priority="293" operator="containsText" text="good">
      <formula>NOT(ISERROR(SEARCH("good",BN2)))</formula>
    </cfRule>
    <cfRule type="containsText" dxfId="0" priority="294" operator="containsText" text="buyback">
      <formula>NOT(ISERROR(SEARCH("buyback",BN2)))</formula>
    </cfRule>
  </conditionalFormatting>
  <conditionalFormatting sqref="BO2:BO213">
    <cfRule type="cellIs" dxfId="0" priority="45" operator="equal">
      <formula>TRUE</formula>
    </cfRule>
    <cfRule type="cellIs" dxfId="0" priority="46" operator="equal">
      <formula>"TRUE"</formula>
    </cfRule>
    <cfRule type="cellIs" dxfId="2" priority="47" operator="equal">
      <formula>FALSE</formula>
    </cfRule>
    <cfRule type="cellIs" dxfId="2" priority="48" operator="equal">
      <formula>"FALSE"</formula>
    </cfRule>
  </conditionalFormatting>
  <conditionalFormatting sqref="BQ2:BQ213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{DA7ABA51-AAAA-BBBB-0001-000000000001}</x14:id>
        </ext>
      </extLst>
    </cfRule>
    <cfRule type="cellIs" dxfId="0" priority="6" operator="greaterThanOrEqual">
      <formula>2</formula>
    </cfRule>
    <cfRule type="cellIs" dxfId="1" priority="7" operator="between">
      <formula>1.5</formula>
      <formula>1.99</formula>
    </cfRule>
    <cfRule type="cellIs" dxfId="2" priority="8" operator="lessThan">
      <formula>1</formula>
    </cfRule>
  </conditionalFormatting>
  <conditionalFormatting sqref="BR2:BR213">
    <cfRule type="colorScale" priority="64">
      <colorScale>
        <cfvo type="min" val="0"/>
        <cfvo type="max" val="0"/>
        <color rgb="FFF8696B"/>
        <color rgb="FF63BE7B"/>
      </colorScale>
    </cfRule>
  </conditionalFormatting>
  <conditionalFormatting sqref="BS2:BS213">
    <cfRule type="cellIs" dxfId="0" priority="65" operator="equal">
      <formula>TRUE</formula>
    </cfRule>
    <cfRule type="cellIs" dxfId="2" priority="66" operator="equal">
      <formula>FALSE</formula>
    </cfRule>
  </conditionalFormatting>
  <conditionalFormatting sqref="BT2:BT213">
    <cfRule type="cellIs" dxfId="0" priority="74" operator="equal">
      <formula>TRUE</formula>
    </cfRule>
    <cfRule type="cellIs" dxfId="2" priority="75" operator="equal">
      <formula>FALSE</formula>
    </cfRule>
  </conditionalFormatting>
  <conditionalFormatting sqref="BU2:BU213">
    <cfRule type="cellIs" dxfId="0" priority="76" operator="equal">
      <formula>TRUE</formula>
    </cfRule>
    <cfRule type="cellIs" dxfId="2" priority="77" operator="equal">
      <formula>FALSE</formula>
    </cfRule>
  </conditionalFormatting>
  <conditionalFormatting sqref="BV2:BV213">
    <cfRule type="cellIs" dxfId="0" priority="78" operator="equal">
      <formula>TRUE</formula>
    </cfRule>
    <cfRule type="cellIs" dxfId="2" priority="79" operator="equal">
      <formula>FALSE</formula>
    </cfRule>
  </conditionalFormatting>
  <conditionalFormatting sqref="BW2:BW213">
    <cfRule type="iconSet" priority="80">
      <iconSet iconSet="3Arrows">
        <cfvo type="percent" val="0"/>
        <cfvo type="percent" val="33"/>
        <cfvo type="percent" val="67"/>
      </iconSet>
    </cfRule>
  </conditionalFormatting>
  <conditionalFormatting sqref="BX2:BX213">
    <cfRule type="cellIs" dxfId="0" priority="81" operator="equal">
      <formula>TRUE</formula>
    </cfRule>
    <cfRule type="cellIs" dxfId="2" priority="82" operator="equal">
      <formula>FALSE</formula>
    </cfRule>
  </conditionalFormatting>
  <conditionalFormatting sqref="C2:C213">
    <cfRule type="containsText" dxfId="1" priority="145" operator="containsText" text="watch">
      <formula>NOT(ISERROR(SEARCH("watch",C2)))</formula>
    </cfRule>
    <cfRule type="containsText" dxfId="1" priority="146" operator="containsText" text="caution">
      <formula>NOT(ISERROR(SEARCH("caution",C2)))</formula>
    </cfRule>
    <cfRule type="containsText" dxfId="1" priority="147" operator="containsText" text="heads up">
      <formula>NOT(ISERROR(SEARCH("heads up",C2)))</formula>
    </cfRule>
    <cfRule type="containsText" dxfId="1" priority="148" operator="containsText" text="overextended">
      <formula>NOT(ISERROR(SEARCH("overextended",C2)))</formula>
    </cfRule>
    <cfRule type="containsText" dxfId="1" priority="149" operator="containsText" text="overbought">
      <formula>NOT(ISERROR(SEARCH("overbought",C2)))</formula>
    </cfRule>
    <cfRule type="containsText" dxfId="1" priority="150" operator="containsText" text="extended">
      <formula>NOT(ISERROR(SEARCH("extended",C2)))</formula>
    </cfRule>
    <cfRule type="containsText" dxfId="1" priority="151" operator="containsText" text="volatility">
      <formula>NOT(ISERROR(SEARCH("volatility",C2)))</formula>
    </cfRule>
    <cfRule type="containsText" dxfId="2" priority="152" operator="containsText" text="warning">
      <formula>NOT(ISERROR(SEARCH("warning",C2)))</formula>
    </cfRule>
    <cfRule type="containsText" dxfId="2" priority="153" operator="containsText" text="delay">
      <formula>NOT(ISERROR(SEARCH("delay",C2)))</formula>
    </cfRule>
    <cfRule type="containsText" dxfId="2" priority="154" operator="containsText" text="guidance cut">
      <formula>NOT(ISERROR(SEARCH("guidance cut",C2)))</formula>
    </cfRule>
    <cfRule type="containsText" dxfId="2" priority="155" operator="containsText" text="miss">
      <formula>NOT(ISERROR(SEARCH("miss",C2)))</formula>
    </cfRule>
    <cfRule type="containsText" dxfId="2" priority="156" operator="containsText" text="lawsuit">
      <formula>NOT(ISERROR(SEARCH("lawsuit",C2)))</formula>
    </cfRule>
    <cfRule type="containsText" dxfId="2" priority="157" operator="containsText" text="cuts">
      <formula>NOT(ISERROR(SEARCH("cuts",C2)))</formula>
    </cfRule>
    <cfRule type="containsText" dxfId="2" priority="158" operator="containsText" text="halt">
      <formula>NOT(ISERROR(SEARCH("halt",C2)))</formula>
    </cfRule>
    <cfRule type="containsText" dxfId="2" priority="159" operator="containsText" text="risk">
      <formula>NOT(ISERROR(SEARCH("risk",C2)))</formula>
    </cfRule>
    <cfRule type="containsText" dxfId="2" priority="160" operator="containsText" text="investigation">
      <formula>NOT(ISERROR(SEARCH("investigation",C2)))</formula>
    </cfRule>
    <cfRule type="containsText" dxfId="2" priority="161" operator="containsText" text="downgrade">
      <formula>NOT(ISERROR(SEARCH("downgrade",C2)))</formula>
    </cfRule>
    <cfRule type="containsText" dxfId="2" priority="162" operator="containsText" text="recall">
      <formula>NOT(ISERROR(SEARCH("recall",C2)))</formula>
    </cfRule>
    <cfRule type="containsText" dxfId="0" priority="163" operator="containsText" text="dividend hike">
      <formula>NOT(ISERROR(SEARCH("dividend hike",C2)))</formula>
    </cfRule>
    <cfRule type="containsText" dxfId="0" priority="164" operator="containsText" text="beats">
      <formula>NOT(ISERROR(SEARCH("beats",C2)))</formula>
    </cfRule>
    <cfRule type="containsText" dxfId="0" priority="165" operator="containsText" text="award">
      <formula>NOT(ISERROR(SEARCH("award",C2)))</formula>
    </cfRule>
    <cfRule type="containsText" dxfId="0" priority="166" operator="containsText" text="strong">
      <formula>NOT(ISERROR(SEARCH("strong",C2)))</formula>
    </cfRule>
    <cfRule type="containsText" dxfId="0" priority="167" operator="containsText" text="upgrade">
      <formula>NOT(ISERROR(SEARCH("upgrade",C2)))</formula>
    </cfRule>
    <cfRule type="containsText" dxfId="0" priority="168" operator="containsText" text="contract">
      <formula>NOT(ISERROR(SEARCH("contract",C2)))</formula>
    </cfRule>
    <cfRule type="containsText" dxfId="0" priority="169" operator="containsText" text="beat">
      <formula>NOT(ISERROR(SEARCH("beat",C2)))</formula>
    </cfRule>
    <cfRule type="containsText" dxfId="0" priority="170" operator="containsText" text="clearance">
      <formula>NOT(ISERROR(SEARCH("clearance",C2)))</formula>
    </cfRule>
    <cfRule type="containsText" dxfId="0" priority="171" operator="containsText" text="partnership">
      <formula>NOT(ISERROR(SEARCH("partnership",C2)))</formula>
    </cfRule>
    <cfRule type="containsText" dxfId="0" priority="172" operator="containsText" text="approval">
      <formula>NOT(ISERROR(SEARCH("approval",C2)))</formula>
    </cfRule>
    <cfRule type="containsText" dxfId="0" priority="173" operator="containsText" text="good">
      <formula>NOT(ISERROR(SEARCH("good",C2)))</formula>
    </cfRule>
    <cfRule type="containsText" dxfId="0" priority="174" operator="containsText" text="buyback">
      <formula>NOT(ISERROR(SEARCH("buyback",C2)))</formula>
    </cfRule>
  </conditionalFormatting>
  <conditionalFormatting sqref="CA2:CA213">
    <cfRule type="cellIs" dxfId="0" priority="83" operator="equal">
      <formula>TRUE</formula>
    </cfRule>
    <cfRule type="cellIs" dxfId="2" priority="84" operator="equal">
      <formula>FALSE</formula>
    </cfRule>
  </conditionalFormatting>
  <conditionalFormatting sqref="E2:E213">
    <cfRule type="cellIs" dxfId="1" priority="70" operator="greaterThan">
      <formula>-2</formula>
    </cfRule>
    <cfRule type="cellIs" dxfId="0" priority="71" operator="lessThan">
      <formula>-30</formula>
    </cfRule>
  </conditionalFormatting>
  <conditionalFormatting sqref="G2:G213">
    <cfRule type="colorScale" priority="4">
      <colorScale>
        <cfvo type="min" val="0"/>
        <cfvo type="percentile" val="50"/>
        <cfvo type="max" val="0"/>
        <color rgb="FF63BE7B"/>
        <color rgb="FFFFFFFF"/>
        <color rgb="FFF8696B"/>
      </colorScale>
    </cfRule>
  </conditionalFormatting>
  <conditionalFormatting sqref="O2:O213">
    <cfRule type="cellIs" dxfId="0" priority="9" operator="equal">
      <formula>TRUE</formula>
    </cfRule>
    <cfRule type="cellIs" dxfId="0" priority="10" operator="equal">
      <formula>"TRUE"</formula>
    </cfRule>
    <cfRule type="cellIs" dxfId="2" priority="11" operator="equal">
      <formula>FALSE</formula>
    </cfRule>
    <cfRule type="cellIs" dxfId="2" priority="12" operator="equal">
      <formula>"FALSE"</formula>
    </cfRule>
  </conditionalFormatting>
  <conditionalFormatting sqref="P2:P213">
    <cfRule type="cellIs" dxfId="0" priority="13" operator="equal">
      <formula>TRUE</formula>
    </cfRule>
    <cfRule type="cellIs" dxfId="0" priority="14" operator="equal">
      <formula>"TRUE"</formula>
    </cfRule>
    <cfRule type="cellIs" dxfId="2" priority="15" operator="equal">
      <formula>FALSE</formula>
    </cfRule>
    <cfRule type="cellIs" dxfId="2" priority="16" operator="equal">
      <formula>"FALSE"</formula>
    </cfRule>
  </conditionalFormatting>
  <conditionalFormatting sqref="Q2:Q213">
    <cfRule type="cellIs" dxfId="0" priority="17" operator="equal">
      <formula>TRUE</formula>
    </cfRule>
    <cfRule type="cellIs" dxfId="0" priority="18" operator="equal">
      <formula>"TRUE"</formula>
    </cfRule>
    <cfRule type="cellIs" dxfId="2" priority="19" operator="equal">
      <formula>FALSE</formula>
    </cfRule>
    <cfRule type="cellIs" dxfId="2" priority="20" operator="equal">
      <formula>"FALSE"</formula>
    </cfRule>
  </conditionalFormatting>
  <conditionalFormatting sqref="R2:R213">
    <cfRule type="cellIs" dxfId="0" priority="61" operator="lessThan">
      <formula>30</formula>
    </cfRule>
    <cfRule type="cellIs" dxfId="1" priority="62" operator="between">
      <formula>30</formula>
      <formula>70</formula>
    </cfRule>
    <cfRule type="cellIs" dxfId="2" priority="63" operator="greaterThan">
      <formula>70</formula>
    </cfRule>
  </conditionalFormatting>
  <conditionalFormatting sqref="S2:S213">
    <cfRule type="cellIs" dxfId="0" priority="25" operator="equal">
      <formula>TRUE</formula>
    </cfRule>
    <cfRule type="cellIs" dxfId="0" priority="26" operator="equal">
      <formula>"TRUE"</formula>
    </cfRule>
    <cfRule type="cellIs" dxfId="2" priority="27" operator="equal">
      <formula>FALSE</formula>
    </cfRule>
    <cfRule type="cellIs" dxfId="2" priority="28" operator="equal">
      <formula>"FALSE"</formula>
    </cfRule>
    <cfRule type="cellIs" dxfId="0" priority="49" operator="equal">
      <formula>TRUE</formula>
    </cfRule>
    <cfRule type="cellIs" dxfId="0" priority="50" operator="equal">
      <formula>"TRUE"</formula>
    </cfRule>
    <cfRule type="cellIs" dxfId="2" priority="51" operator="equal">
      <formula>FALSE</formula>
    </cfRule>
    <cfRule type="cellIs" dxfId="2" priority="52" operator="equal">
      <formula>"FALSE"</formula>
    </cfRule>
  </conditionalFormatting>
  <conditionalFormatting sqref="T2:T213">
    <cfRule type="cellIs" dxfId="0" priority="29" operator="equal">
      <formula>TRUE</formula>
    </cfRule>
    <cfRule type="cellIs" dxfId="0" priority="30" operator="equal">
      <formula>"TRUE"</formula>
    </cfRule>
    <cfRule type="cellIs" dxfId="2" priority="31" operator="equal">
      <formula>FALSE</formula>
    </cfRule>
    <cfRule type="cellIs" dxfId="2" priority="32" operator="equal">
      <formula>"FALSE"</formula>
    </cfRule>
  </conditionalFormatting>
  <conditionalFormatting sqref="W2:W213">
    <cfRule type="cellIs" dxfId="0" priority="41" operator="equal">
      <formula>TRUE</formula>
    </cfRule>
    <cfRule type="cellIs" dxfId="0" priority="42" operator="equal">
      <formula>"TRUE"</formula>
    </cfRule>
    <cfRule type="cellIs" dxfId="2" priority="43" operator="equal">
      <formula>FALSE</formula>
    </cfRule>
    <cfRule type="cellIs" dxfId="2" priority="44" operator="equal">
      <formula>"FALSE"</formula>
    </cfRule>
    <cfRule type="cellIs" dxfId="0" priority="53" operator="equal">
      <formula>TRUE</formula>
    </cfRule>
    <cfRule type="cellIs" dxfId="0" priority="54" operator="equal">
      <formula>"TRUE"</formula>
    </cfRule>
    <cfRule type="cellIs" dxfId="2" priority="55" operator="equal">
      <formula>FALSE</formula>
    </cfRule>
    <cfRule type="cellIs" dxfId="2" priority="56" operator="equal">
      <formula>"FALSE"</formula>
    </cfRule>
  </conditionalFormatting>
  <conditionalFormatting sqref="X2:X213">
    <cfRule type="cellIs" dxfId="0" priority="33" operator="equal">
      <formula>TRUE</formula>
    </cfRule>
    <cfRule type="cellIs" dxfId="0" priority="34" operator="equal">
      <formula>"TRUE"</formula>
    </cfRule>
    <cfRule type="cellIs" dxfId="2" priority="35" operator="equal">
      <formula>FALSE</formula>
    </cfRule>
    <cfRule type="cellIs" dxfId="2" priority="36" operator="equal">
      <formula>"FALSE"</formula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A7ABA51-AAAA-BBBB-0001-000000000001}">
            <x14:dataBar minLength="0" maxLength="100" border="1" negativeBarBorderColorSameAsPositive="0">
              <x14:cfvo type="autoMin"/>
              <x14:cfvo type="autoMax"/>
              <x14:borderColor rgb="FFA6A6A6"/>
              <x14:negativeFillColor rgb="FFFF0000"/>
              <x14:negativeBorderColor rgb="FFFF0000"/>
              <x14:axisColor rgb="FF000000"/>
            </x14:dataBar>
          </x14:cfRule>
          <xm:sqref>BQ2:BQ213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>
  <dimension ref="A1:A4221"/>
  <sheetViews>
    <sheetView workbookViewId="0"/>
  </sheetViews>
  <sheetFormatPr defaultRowHeight="15"/>
  <cols>
    <col min="1" max="1" width="18.7109375" customWidth="1"/>
  </cols>
  <sheetData>
    <row r="1" spans="1:1">
      <c r="A1" t="s">
        <v>67</v>
      </c>
    </row>
    <row r="21" spans="1:1">
      <c r="A21" t="s">
        <v>68</v>
      </c>
    </row>
    <row r="41" spans="1:1">
      <c r="A41" t="s">
        <v>69</v>
      </c>
    </row>
    <row r="61" spans="1:1">
      <c r="A61" t="s">
        <v>70</v>
      </c>
    </row>
    <row r="81" spans="1:1">
      <c r="A81" t="s">
        <v>71</v>
      </c>
    </row>
    <row r="101" spans="1:1">
      <c r="A101" t="s">
        <v>72</v>
      </c>
    </row>
    <row r="121" spans="1:1">
      <c r="A121" t="s">
        <v>73</v>
      </c>
    </row>
    <row r="141" spans="1:1">
      <c r="A141" t="s">
        <v>74</v>
      </c>
    </row>
    <row r="161" spans="1:1">
      <c r="A161" t="s">
        <v>75</v>
      </c>
    </row>
    <row r="181" spans="1:1">
      <c r="A181" t="s">
        <v>76</v>
      </c>
    </row>
    <row r="201" spans="1:1">
      <c r="A201" t="s">
        <v>77</v>
      </c>
    </row>
    <row r="221" spans="1:1">
      <c r="A221" t="s">
        <v>78</v>
      </c>
    </row>
    <row r="241" spans="1:1">
      <c r="A241" t="s">
        <v>79</v>
      </c>
    </row>
    <row r="261" spans="1:1">
      <c r="A261" t="s">
        <v>80</v>
      </c>
    </row>
    <row r="281" spans="1:1">
      <c r="A281" t="s">
        <v>81</v>
      </c>
    </row>
    <row r="301" spans="1:1">
      <c r="A301" t="s">
        <v>82</v>
      </c>
    </row>
    <row r="321" spans="1:1">
      <c r="A321" t="s">
        <v>83</v>
      </c>
    </row>
    <row r="341" spans="1:1">
      <c r="A341" t="s">
        <v>84</v>
      </c>
    </row>
    <row r="361" spans="1:1">
      <c r="A361" t="s">
        <v>85</v>
      </c>
    </row>
    <row r="381" spans="1:1">
      <c r="A381" t="s">
        <v>86</v>
      </c>
    </row>
    <row r="401" spans="1:1">
      <c r="A401" t="s">
        <v>87</v>
      </c>
    </row>
    <row r="421" spans="1:1">
      <c r="A421" t="s">
        <v>88</v>
      </c>
    </row>
    <row r="441" spans="1:1">
      <c r="A441" t="s">
        <v>89</v>
      </c>
    </row>
    <row r="461" spans="1:1">
      <c r="A461" t="s">
        <v>90</v>
      </c>
    </row>
    <row r="481" spans="1:1">
      <c r="A481" t="s">
        <v>91</v>
      </c>
    </row>
    <row r="501" spans="1:1">
      <c r="A501" t="s">
        <v>92</v>
      </c>
    </row>
    <row r="521" spans="1:1">
      <c r="A521" t="s">
        <v>93</v>
      </c>
    </row>
    <row r="541" spans="1:1">
      <c r="A541" t="s">
        <v>94</v>
      </c>
    </row>
    <row r="561" spans="1:1">
      <c r="A561" t="s">
        <v>95</v>
      </c>
    </row>
    <row r="581" spans="1:1">
      <c r="A581" t="s">
        <v>96</v>
      </c>
    </row>
    <row r="601" spans="1:1">
      <c r="A601" t="s">
        <v>97</v>
      </c>
    </row>
    <row r="621" spans="1:1">
      <c r="A621" t="s">
        <v>98</v>
      </c>
    </row>
    <row r="641" spans="1:1">
      <c r="A641" t="s">
        <v>99</v>
      </c>
    </row>
    <row r="661" spans="1:1">
      <c r="A661" t="s">
        <v>100</v>
      </c>
    </row>
    <row r="681" spans="1:1">
      <c r="A681" t="s">
        <v>101</v>
      </c>
    </row>
    <row r="701" spans="1:1">
      <c r="A701" t="s">
        <v>102</v>
      </c>
    </row>
    <row r="721" spans="1:1">
      <c r="A721" t="s">
        <v>103</v>
      </c>
    </row>
    <row r="741" spans="1:1">
      <c r="A741" t="s">
        <v>104</v>
      </c>
    </row>
    <row r="761" spans="1:1">
      <c r="A761" t="s">
        <v>105</v>
      </c>
    </row>
    <row r="781" spans="1:1">
      <c r="A781" t="s">
        <v>106</v>
      </c>
    </row>
    <row r="801" spans="1:1">
      <c r="A801" t="s">
        <v>107</v>
      </c>
    </row>
    <row r="821" spans="1:1">
      <c r="A821" t="s">
        <v>108</v>
      </c>
    </row>
    <row r="841" spans="1:1">
      <c r="A841" t="s">
        <v>109</v>
      </c>
    </row>
    <row r="861" spans="1:1">
      <c r="A861" t="s">
        <v>110</v>
      </c>
    </row>
    <row r="881" spans="1:1">
      <c r="A881" t="s">
        <v>111</v>
      </c>
    </row>
    <row r="901" spans="1:1">
      <c r="A901" t="s">
        <v>112</v>
      </c>
    </row>
    <row r="921" spans="1:1">
      <c r="A921" t="s">
        <v>113</v>
      </c>
    </row>
    <row r="941" spans="1:1">
      <c r="A941" t="s">
        <v>114</v>
      </c>
    </row>
    <row r="961" spans="1:1">
      <c r="A961" t="s">
        <v>115</v>
      </c>
    </row>
    <row r="981" spans="1:1">
      <c r="A981" t="s">
        <v>116</v>
      </c>
    </row>
    <row r="1001" spans="1:1">
      <c r="A1001" t="s">
        <v>117</v>
      </c>
    </row>
    <row r="1021" spans="1:1">
      <c r="A1021" t="s">
        <v>118</v>
      </c>
    </row>
    <row r="1041" spans="1:1">
      <c r="A1041" t="s">
        <v>119</v>
      </c>
    </row>
    <row r="1061" spans="1:1">
      <c r="A1061" t="s">
        <v>120</v>
      </c>
    </row>
    <row r="1081" spans="1:1">
      <c r="A1081" t="s">
        <v>121</v>
      </c>
    </row>
    <row r="1101" spans="1:1">
      <c r="A1101" t="s">
        <v>122</v>
      </c>
    </row>
    <row r="1121" spans="1:1">
      <c r="A1121" t="s">
        <v>123</v>
      </c>
    </row>
    <row r="1141" spans="1:1">
      <c r="A1141" t="s">
        <v>124</v>
      </c>
    </row>
    <row r="1161" spans="1:1">
      <c r="A1161" t="s">
        <v>125</v>
      </c>
    </row>
    <row r="1181" spans="1:1">
      <c r="A1181" t="s">
        <v>126</v>
      </c>
    </row>
    <row r="1201" spans="1:1">
      <c r="A1201" t="s">
        <v>127</v>
      </c>
    </row>
    <row r="1221" spans="1:1">
      <c r="A1221" t="s">
        <v>128</v>
      </c>
    </row>
    <row r="1241" spans="1:1">
      <c r="A1241" t="s">
        <v>129</v>
      </c>
    </row>
    <row r="1261" spans="1:1">
      <c r="A1261" t="s">
        <v>130</v>
      </c>
    </row>
    <row r="1281" spans="1:1">
      <c r="A1281" t="s">
        <v>131</v>
      </c>
    </row>
    <row r="1301" spans="1:1">
      <c r="A1301" t="s">
        <v>132</v>
      </c>
    </row>
    <row r="1321" spans="1:1">
      <c r="A1321" t="s">
        <v>133</v>
      </c>
    </row>
    <row r="1341" spans="1:1">
      <c r="A1341" t="s">
        <v>134</v>
      </c>
    </row>
    <row r="1361" spans="1:1">
      <c r="A1361" t="s">
        <v>135</v>
      </c>
    </row>
    <row r="1381" spans="1:1">
      <c r="A1381" t="s">
        <v>136</v>
      </c>
    </row>
    <row r="1401" spans="1:1">
      <c r="A1401" t="s">
        <v>137</v>
      </c>
    </row>
    <row r="1421" spans="1:1">
      <c r="A1421" t="s">
        <v>138</v>
      </c>
    </row>
    <row r="1441" spans="1:1">
      <c r="A1441" t="s">
        <v>139</v>
      </c>
    </row>
    <row r="1461" spans="1:1">
      <c r="A1461" t="s">
        <v>140</v>
      </c>
    </row>
    <row r="1481" spans="1:1">
      <c r="A1481" t="s">
        <v>141</v>
      </c>
    </row>
    <row r="1501" spans="1:1">
      <c r="A1501" t="s">
        <v>142</v>
      </c>
    </row>
    <row r="1521" spans="1:1">
      <c r="A1521" t="s">
        <v>143</v>
      </c>
    </row>
    <row r="1541" spans="1:1">
      <c r="A1541" t="s">
        <v>144</v>
      </c>
    </row>
    <row r="1561" spans="1:1">
      <c r="A1561" t="s">
        <v>145</v>
      </c>
    </row>
    <row r="1581" spans="1:1">
      <c r="A1581" t="s">
        <v>146</v>
      </c>
    </row>
    <row r="1601" spans="1:1">
      <c r="A1601" t="s">
        <v>147</v>
      </c>
    </row>
    <row r="1621" spans="1:1">
      <c r="A1621" t="s">
        <v>148</v>
      </c>
    </row>
    <row r="1641" spans="1:1">
      <c r="A1641" t="s">
        <v>149</v>
      </c>
    </row>
    <row r="1661" spans="1:1">
      <c r="A1661" t="s">
        <v>150</v>
      </c>
    </row>
    <row r="1681" spans="1:1">
      <c r="A1681" t="s">
        <v>151</v>
      </c>
    </row>
    <row r="1701" spans="1:1">
      <c r="A1701" t="s">
        <v>152</v>
      </c>
    </row>
    <row r="1721" spans="1:1">
      <c r="A1721" t="s">
        <v>153</v>
      </c>
    </row>
    <row r="1741" spans="1:1">
      <c r="A1741" t="s">
        <v>154</v>
      </c>
    </row>
    <row r="1761" spans="1:1">
      <c r="A1761" t="s">
        <v>155</v>
      </c>
    </row>
    <row r="1781" spans="1:1">
      <c r="A1781" t="s">
        <v>156</v>
      </c>
    </row>
    <row r="1801" spans="1:1">
      <c r="A1801" t="s">
        <v>157</v>
      </c>
    </row>
    <row r="1821" spans="1:1">
      <c r="A1821" t="s">
        <v>158</v>
      </c>
    </row>
    <row r="1841" spans="1:1">
      <c r="A1841" t="s">
        <v>159</v>
      </c>
    </row>
    <row r="1861" spans="1:1">
      <c r="A1861" t="s">
        <v>160</v>
      </c>
    </row>
    <row r="1881" spans="1:1">
      <c r="A1881" t="s">
        <v>161</v>
      </c>
    </row>
    <row r="1901" spans="1:1">
      <c r="A1901" t="s">
        <v>162</v>
      </c>
    </row>
    <row r="1921" spans="1:1">
      <c r="A1921" t="s">
        <v>163</v>
      </c>
    </row>
    <row r="1941" spans="1:1">
      <c r="A1941" t="s">
        <v>164</v>
      </c>
    </row>
    <row r="1961" spans="1:1">
      <c r="A1961" t="s">
        <v>165</v>
      </c>
    </row>
    <row r="1981" spans="1:1">
      <c r="A1981" t="s">
        <v>166</v>
      </c>
    </row>
    <row r="2001" spans="1:1">
      <c r="A2001" t="s">
        <v>167</v>
      </c>
    </row>
    <row r="2021" spans="1:1">
      <c r="A2021" t="s">
        <v>168</v>
      </c>
    </row>
    <row r="2041" spans="1:1">
      <c r="A2041" t="s">
        <v>169</v>
      </c>
    </row>
    <row r="2061" spans="1:1">
      <c r="A2061" t="s">
        <v>170</v>
      </c>
    </row>
    <row r="2081" spans="1:1">
      <c r="A2081" t="s">
        <v>171</v>
      </c>
    </row>
    <row r="2101" spans="1:1">
      <c r="A2101" t="s">
        <v>172</v>
      </c>
    </row>
    <row r="2121" spans="1:1">
      <c r="A2121" t="s">
        <v>173</v>
      </c>
    </row>
    <row r="2141" spans="1:1">
      <c r="A2141" t="s">
        <v>174</v>
      </c>
    </row>
    <row r="2161" spans="1:1">
      <c r="A2161" t="s">
        <v>175</v>
      </c>
    </row>
    <row r="2181" spans="1:1">
      <c r="A2181" t="s">
        <v>176</v>
      </c>
    </row>
    <row r="2201" spans="1:1">
      <c r="A2201" t="s">
        <v>177</v>
      </c>
    </row>
    <row r="2221" spans="1:1">
      <c r="A2221" t="s">
        <v>178</v>
      </c>
    </row>
    <row r="2241" spans="1:1">
      <c r="A2241" t="s">
        <v>179</v>
      </c>
    </row>
    <row r="2261" spans="1:1">
      <c r="A2261" t="s">
        <v>180</v>
      </c>
    </row>
    <row r="2281" spans="1:1">
      <c r="A2281" t="s">
        <v>181</v>
      </c>
    </row>
    <row r="2301" spans="1:1">
      <c r="A2301" t="s">
        <v>182</v>
      </c>
    </row>
    <row r="2321" spans="1:1">
      <c r="A2321" t="s">
        <v>183</v>
      </c>
    </row>
    <row r="2341" spans="1:1">
      <c r="A2341" t="s">
        <v>184</v>
      </c>
    </row>
    <row r="2361" spans="1:1">
      <c r="A2361" t="s">
        <v>185</v>
      </c>
    </row>
    <row r="2381" spans="1:1">
      <c r="A2381" t="s">
        <v>186</v>
      </c>
    </row>
    <row r="2401" spans="1:1">
      <c r="A2401" t="s">
        <v>187</v>
      </c>
    </row>
    <row r="2421" spans="1:1">
      <c r="A2421" t="s">
        <v>188</v>
      </c>
    </row>
    <row r="2441" spans="1:1">
      <c r="A2441" t="s">
        <v>189</v>
      </c>
    </row>
    <row r="2461" spans="1:1">
      <c r="A2461" t="s">
        <v>190</v>
      </c>
    </row>
    <row r="2481" spans="1:1">
      <c r="A2481" t="s">
        <v>191</v>
      </c>
    </row>
    <row r="2501" spans="1:1">
      <c r="A2501" t="s">
        <v>192</v>
      </c>
    </row>
    <row r="2521" spans="1:1">
      <c r="A2521" t="s">
        <v>193</v>
      </c>
    </row>
    <row r="2541" spans="1:1">
      <c r="A2541" t="s">
        <v>194</v>
      </c>
    </row>
    <row r="2561" spans="1:1">
      <c r="A2561" t="s">
        <v>195</v>
      </c>
    </row>
    <row r="2581" spans="1:1">
      <c r="A2581" t="s">
        <v>196</v>
      </c>
    </row>
    <row r="2601" spans="1:1">
      <c r="A2601" t="s">
        <v>197</v>
      </c>
    </row>
    <row r="2621" spans="1:1">
      <c r="A2621" t="s">
        <v>198</v>
      </c>
    </row>
    <row r="2641" spans="1:1">
      <c r="A2641" t="s">
        <v>199</v>
      </c>
    </row>
    <row r="2661" spans="1:1">
      <c r="A2661" t="s">
        <v>200</v>
      </c>
    </row>
    <row r="2681" spans="1:1">
      <c r="A2681" t="s">
        <v>201</v>
      </c>
    </row>
    <row r="2701" spans="1:1">
      <c r="A2701" t="s">
        <v>202</v>
      </c>
    </row>
    <row r="2721" spans="1:1">
      <c r="A2721" t="s">
        <v>203</v>
      </c>
    </row>
    <row r="2741" spans="1:1">
      <c r="A2741" t="s">
        <v>204</v>
      </c>
    </row>
    <row r="2761" spans="1:1">
      <c r="A2761" t="s">
        <v>205</v>
      </c>
    </row>
    <row r="2781" spans="1:1">
      <c r="A2781" t="s">
        <v>206</v>
      </c>
    </row>
    <row r="2801" spans="1:1">
      <c r="A2801" t="s">
        <v>207</v>
      </c>
    </row>
    <row r="2821" spans="1:1">
      <c r="A2821" t="s">
        <v>208</v>
      </c>
    </row>
    <row r="2841" spans="1:1">
      <c r="A2841" t="s">
        <v>209</v>
      </c>
    </row>
    <row r="2861" spans="1:1">
      <c r="A2861" t="s">
        <v>210</v>
      </c>
    </row>
    <row r="2881" spans="1:1">
      <c r="A2881" t="s">
        <v>211</v>
      </c>
    </row>
    <row r="2901" spans="1:1">
      <c r="A2901" t="s">
        <v>212</v>
      </c>
    </row>
    <row r="2921" spans="1:1">
      <c r="A2921" t="s">
        <v>213</v>
      </c>
    </row>
    <row r="2941" spans="1:1">
      <c r="A2941" t="s">
        <v>214</v>
      </c>
    </row>
    <row r="2961" spans="1:1">
      <c r="A2961" t="s">
        <v>215</v>
      </c>
    </row>
    <row r="2981" spans="1:1">
      <c r="A2981" t="s">
        <v>216</v>
      </c>
    </row>
    <row r="3001" spans="1:1">
      <c r="A3001" t="s">
        <v>217</v>
      </c>
    </row>
    <row r="3021" spans="1:1">
      <c r="A3021" t="s">
        <v>218</v>
      </c>
    </row>
    <row r="3041" spans="1:1">
      <c r="A3041" t="s">
        <v>219</v>
      </c>
    </row>
    <row r="3061" spans="1:1">
      <c r="A3061" t="s">
        <v>220</v>
      </c>
    </row>
    <row r="3081" spans="1:1">
      <c r="A3081" t="s">
        <v>221</v>
      </c>
    </row>
    <row r="3101" spans="1:1">
      <c r="A3101" t="s">
        <v>222</v>
      </c>
    </row>
    <row r="3121" spans="1:1">
      <c r="A3121" t="s">
        <v>223</v>
      </c>
    </row>
    <row r="3141" spans="1:1">
      <c r="A3141" t="s">
        <v>224</v>
      </c>
    </row>
    <row r="3161" spans="1:1">
      <c r="A3161" t="s">
        <v>225</v>
      </c>
    </row>
    <row r="3181" spans="1:1">
      <c r="A3181" t="s">
        <v>226</v>
      </c>
    </row>
    <row r="3201" spans="1:1">
      <c r="A3201" t="s">
        <v>227</v>
      </c>
    </row>
    <row r="3221" spans="1:1">
      <c r="A3221" t="s">
        <v>228</v>
      </c>
    </row>
    <row r="3241" spans="1:1">
      <c r="A3241" t="s">
        <v>229</v>
      </c>
    </row>
    <row r="3261" spans="1:1">
      <c r="A3261" t="s">
        <v>230</v>
      </c>
    </row>
    <row r="3281" spans="1:1">
      <c r="A3281" t="s">
        <v>231</v>
      </c>
    </row>
    <row r="3301" spans="1:1">
      <c r="A3301" t="s">
        <v>232</v>
      </c>
    </row>
    <row r="3321" spans="1:1">
      <c r="A3321" t="s">
        <v>233</v>
      </c>
    </row>
    <row r="3341" spans="1:1">
      <c r="A3341" t="s">
        <v>234</v>
      </c>
    </row>
    <row r="3361" spans="1:1">
      <c r="A3361" t="s">
        <v>235</v>
      </c>
    </row>
    <row r="3381" spans="1:1">
      <c r="A3381" t="s">
        <v>236</v>
      </c>
    </row>
    <row r="3401" spans="1:1">
      <c r="A3401" t="s">
        <v>237</v>
      </c>
    </row>
    <row r="3421" spans="1:1">
      <c r="A3421" t="s">
        <v>238</v>
      </c>
    </row>
    <row r="3441" spans="1:1">
      <c r="A3441" t="s">
        <v>239</v>
      </c>
    </row>
    <row r="3461" spans="1:1">
      <c r="A3461" t="s">
        <v>240</v>
      </c>
    </row>
    <row r="3481" spans="1:1">
      <c r="A3481" t="s">
        <v>241</v>
      </c>
    </row>
    <row r="3501" spans="1:1">
      <c r="A3501" t="s">
        <v>242</v>
      </c>
    </row>
    <row r="3521" spans="1:1">
      <c r="A3521" t="s">
        <v>243</v>
      </c>
    </row>
    <row r="3541" spans="1:1">
      <c r="A3541" t="s">
        <v>244</v>
      </c>
    </row>
    <row r="3561" spans="1:1">
      <c r="A3561" t="s">
        <v>245</v>
      </c>
    </row>
    <row r="3581" spans="1:1">
      <c r="A3581" t="s">
        <v>246</v>
      </c>
    </row>
    <row r="3601" spans="1:1">
      <c r="A3601" t="s">
        <v>247</v>
      </c>
    </row>
    <row r="3621" spans="1:1">
      <c r="A3621" t="s">
        <v>248</v>
      </c>
    </row>
    <row r="3641" spans="1:1">
      <c r="A3641" t="s">
        <v>249</v>
      </c>
    </row>
    <row r="3661" spans="1:1">
      <c r="A3661" t="s">
        <v>250</v>
      </c>
    </row>
    <row r="3681" spans="1:1">
      <c r="A3681" t="s">
        <v>251</v>
      </c>
    </row>
    <row r="3701" spans="1:1">
      <c r="A3701" t="s">
        <v>252</v>
      </c>
    </row>
    <row r="3721" spans="1:1">
      <c r="A3721" t="s">
        <v>253</v>
      </c>
    </row>
    <row r="3741" spans="1:1">
      <c r="A3741" t="s">
        <v>254</v>
      </c>
    </row>
    <row r="3761" spans="1:1">
      <c r="A3761" t="s">
        <v>255</v>
      </c>
    </row>
    <row r="3781" spans="1:1">
      <c r="A3781" t="s">
        <v>256</v>
      </c>
    </row>
    <row r="3801" spans="1:1">
      <c r="A3801" t="s">
        <v>257</v>
      </c>
    </row>
    <row r="3821" spans="1:1">
      <c r="A3821" t="s">
        <v>258</v>
      </c>
    </row>
    <row r="3841" spans="1:1">
      <c r="A3841" t="s">
        <v>259</v>
      </c>
    </row>
    <row r="3861" spans="1:1">
      <c r="A3861" t="s">
        <v>260</v>
      </c>
    </row>
    <row r="3881" spans="1:1">
      <c r="A3881" t="s">
        <v>261</v>
      </c>
    </row>
    <row r="3901" spans="1:1">
      <c r="A3901" t="s">
        <v>262</v>
      </c>
    </row>
    <row r="3921" spans="1:1">
      <c r="A3921" t="s">
        <v>263</v>
      </c>
    </row>
    <row r="3941" spans="1:1">
      <c r="A3941" t="s">
        <v>264</v>
      </c>
    </row>
    <row r="3961" spans="1:1">
      <c r="A3961" t="s">
        <v>265</v>
      </c>
    </row>
    <row r="3981" spans="1:1">
      <c r="A3981" t="s">
        <v>266</v>
      </c>
    </row>
    <row r="4001" spans="1:1">
      <c r="A4001" t="s">
        <v>267</v>
      </c>
    </row>
    <row r="4021" spans="1:1">
      <c r="A4021" t="s">
        <v>268</v>
      </c>
    </row>
    <row r="4041" spans="1:1">
      <c r="A4041" t="s">
        <v>269</v>
      </c>
    </row>
    <row r="4061" spans="1:1">
      <c r="A4061" t="s">
        <v>270</v>
      </c>
    </row>
    <row r="4081" spans="1:1">
      <c r="A4081" t="s">
        <v>271</v>
      </c>
    </row>
    <row r="4101" spans="1:1">
      <c r="A4101" t="s">
        <v>272</v>
      </c>
    </row>
    <row r="4121" spans="1:1">
      <c r="A4121" t="s">
        <v>273</v>
      </c>
    </row>
    <row r="4141" spans="1:1">
      <c r="A4141" t="s">
        <v>274</v>
      </c>
    </row>
    <row r="4161" spans="1:1">
      <c r="A4161" t="s">
        <v>275</v>
      </c>
    </row>
    <row r="4181" spans="1:1">
      <c r="A4181" t="s">
        <v>276</v>
      </c>
    </row>
    <row r="4201" spans="1:1">
      <c r="A4201" t="s">
        <v>277</v>
      </c>
    </row>
    <row r="4221" spans="1:1">
      <c r="A4221" t="s">
        <v>278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Summary</vt:lpstr>
      <vt:lpstr>Charts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2025-08-18T05:09:26Z</dcterms:created>
  <dcterms:modified xsi:type="dcterms:W3CDTF">2025-08-18T05:09:26Z</dcterms:modified>
</cp:coreProperties>
</file>